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dcosijek-my.sharepoint.com/personal/monika_ndcosijek_onmicrosoft_com/Documents/Desktop/"/>
    </mc:Choice>
  </mc:AlternateContent>
  <xr:revisionPtr revIDLastSave="1379" documentId="13_ncr:1_{B27DB925-E40E-4844-B899-2FEE24CCCA1E}" xr6:coauthVersionLast="47" xr6:coauthVersionMax="47" xr10:uidLastSave="{AB92129B-0DBD-4C36-BC7F-EB26D00D5C60}"/>
  <bookViews>
    <workbookView xWindow="-108" yWindow="-108" windowWidth="23256" windowHeight="12456" firstSheet="1" activeTab="1" xr2:uid="{5ACB2568-5E68-430D-A1FD-7CB54D4323BB}"/>
  </bookViews>
  <sheets>
    <sheet name="Aktivnosti_Izvještavanje" sheetId="2" state="hidden" r:id="rId1"/>
    <sheet name="Kalendar aktivnosti veljača2026" sheetId="33" r:id="rId2"/>
    <sheet name="Kalendar aktivnosti 06.2025_V3" sheetId="12" state="hidden" r:id="rId3"/>
    <sheet name="Kalendar aktivnosti 06.2025" sheetId="11" state="hidden" r:id="rId4"/>
    <sheet name="Kalendar aktivnosti 05.2025-V2" sheetId="9" state="hidden" r:id="rId5"/>
    <sheet name="KA skraćeno 04.2025" sheetId="5" state="hidden" r:id="rId6"/>
    <sheet name="Objedinjeno 2025" sheetId="8" state="hidden" r:id="rId7"/>
    <sheet name="List1" sheetId="6" state="hidden" r:id="rId8"/>
  </sheets>
  <definedNames>
    <definedName name="_xlnm._FilterDatabase" localSheetId="5" hidden="1">'KA skraćeno 04.2025'!$A$3:$D$54</definedName>
    <definedName name="_xlnm._FilterDatabase" localSheetId="4" hidden="1">'Kalendar aktivnosti 05.2025-V2'!$A$8:$O$91</definedName>
    <definedName name="_xlnm._FilterDatabase" localSheetId="3" hidden="1">'Kalendar aktivnosti 06.2025'!$A$8:$P$70</definedName>
    <definedName name="_xlnm._FilterDatabase" localSheetId="2" hidden="1">'Kalendar aktivnosti 06.2025_V3'!$A$8:$P$73</definedName>
    <definedName name="_xlnm._FilterDatabase" localSheetId="1" hidden="1">'Kalendar aktivnosti veljača2026'!$A$8:$Q$34</definedName>
    <definedName name="_xlnm._FilterDatabase" localSheetId="6" hidden="1">'Objedinjeno 2025'!$A$8:$N$146</definedName>
    <definedName name="_xlnm.Print_Area" localSheetId="0">Aktivnosti_Izvještavanje!$A$18:$I$37</definedName>
    <definedName name="_xlnm.Print_Area" localSheetId="5">'KA skraćeno 04.2025'!$B$1:$H$68</definedName>
    <definedName name="_xlnm.Print_Area" localSheetId="4">'Kalendar aktivnosti 05.2025-V2'!$A$1:$O$91</definedName>
    <definedName name="_xlnm.Print_Area" localSheetId="3">'Kalendar aktivnosti 06.2025'!$A$1:$P$70</definedName>
    <definedName name="_xlnm.Print_Area" localSheetId="2">'Kalendar aktivnosti 06.2025_V3'!$A$1:$P$73</definedName>
    <definedName name="_xlnm.Print_Area" localSheetId="1">'Kalendar aktivnosti veljača2026'!$A$1:$Q$34</definedName>
    <definedName name="_xlnm.Print_Area" localSheetId="6">'Objedinjeno 2025'!$A$1:$N$62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33" l="1"/>
  <c r="R24" i="33"/>
  <c r="R27" i="33"/>
  <c r="Q63" i="12" l="1"/>
  <c r="Q64" i="12"/>
  <c r="Q66" i="12"/>
  <c r="Q68" i="12"/>
  <c r="Q67" i="12"/>
  <c r="Q65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44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47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5" i="11"/>
  <c r="Q46" i="11"/>
  <c r="Q14" i="11"/>
  <c r="Q13" i="11"/>
  <c r="D226" i="8"/>
  <c r="L6" i="6" l="1"/>
  <c r="D295" i="8"/>
  <c r="C226" i="8"/>
  <c r="D181" i="8"/>
  <c r="M380" i="8"/>
  <c r="L380" i="8"/>
  <c r="K380" i="8"/>
  <c r="J380" i="8"/>
  <c r="I380" i="8"/>
  <c r="H380" i="8"/>
  <c r="G380" i="8"/>
  <c r="F380" i="8"/>
  <c r="E380" i="8"/>
  <c r="D380" i="8"/>
  <c r="M367" i="8"/>
  <c r="L367" i="8"/>
  <c r="K367" i="8"/>
  <c r="J367" i="8"/>
  <c r="I367" i="8"/>
  <c r="H367" i="8"/>
  <c r="G367" i="8"/>
  <c r="F367" i="8"/>
  <c r="E367" i="8"/>
  <c r="D367" i="8"/>
  <c r="M331" i="8"/>
  <c r="L331" i="8"/>
  <c r="K331" i="8"/>
  <c r="J331" i="8"/>
  <c r="I331" i="8"/>
  <c r="H331" i="8"/>
  <c r="G331" i="8"/>
  <c r="F331" i="8"/>
  <c r="E331" i="8"/>
  <c r="D331" i="8"/>
  <c r="M295" i="8"/>
  <c r="L295" i="8"/>
  <c r="K295" i="8"/>
  <c r="J295" i="8"/>
  <c r="I295" i="8"/>
  <c r="H295" i="8"/>
  <c r="G295" i="8"/>
  <c r="F295" i="8"/>
  <c r="E295" i="8"/>
  <c r="L259" i="8"/>
  <c r="K259" i="8"/>
  <c r="J259" i="8"/>
  <c r="I259" i="8"/>
  <c r="H259" i="8"/>
  <c r="G259" i="8"/>
  <c r="F259" i="8"/>
  <c r="E259" i="8"/>
  <c r="D259" i="8"/>
  <c r="D216" i="8"/>
  <c r="F369" i="8" l="1"/>
  <c r="F371" i="8" s="1"/>
  <c r="F382" i="8"/>
  <c r="F384" i="8" s="1"/>
  <c r="F333" i="8"/>
  <c r="F335" i="8" s="1"/>
  <c r="F297" i="8"/>
  <c r="F299" i="8" s="1"/>
  <c r="F261" i="8"/>
  <c r="F263" i="8" s="1"/>
  <c r="F240" i="8" l="1"/>
  <c r="M216" i="8"/>
  <c r="L216" i="8"/>
  <c r="K216" i="8"/>
  <c r="J216" i="8"/>
  <c r="I216" i="8"/>
  <c r="H216" i="8"/>
  <c r="G216" i="8"/>
  <c r="F216" i="8"/>
  <c r="E216" i="8"/>
  <c r="L202" i="8"/>
  <c r="K202" i="8"/>
  <c r="J202" i="8"/>
  <c r="I202" i="8"/>
  <c r="H202" i="8"/>
  <c r="G202" i="8"/>
  <c r="F202" i="8"/>
  <c r="E202" i="8"/>
  <c r="D202" i="8"/>
  <c r="L182" i="8"/>
  <c r="K182" i="8"/>
  <c r="J182" i="8"/>
  <c r="I182" i="8"/>
  <c r="H182" i="8"/>
  <c r="G182" i="8"/>
  <c r="F182" i="8"/>
  <c r="E182" i="8"/>
  <c r="D182" i="8"/>
  <c r="E169" i="8"/>
  <c r="F169" i="8"/>
  <c r="G169" i="8"/>
  <c r="H169" i="8"/>
  <c r="I169" i="8"/>
  <c r="J169" i="8"/>
  <c r="K169" i="8"/>
  <c r="L169" i="8"/>
  <c r="D169" i="8"/>
  <c r="I237" i="8"/>
  <c r="F237" i="8"/>
  <c r="G237" i="8"/>
  <c r="H237" i="8"/>
  <c r="J237" i="8"/>
  <c r="K237" i="8"/>
  <c r="L237" i="8"/>
  <c r="L235" i="8"/>
  <c r="L232" i="8"/>
  <c r="L231" i="8"/>
  <c r="L230" i="8"/>
  <c r="L229" i="8"/>
  <c r="L228" i="8"/>
  <c r="L227" i="8"/>
  <c r="L226" i="8"/>
  <c r="K235" i="8"/>
  <c r="K232" i="8"/>
  <c r="K231" i="8"/>
  <c r="K230" i="8"/>
  <c r="K229" i="8"/>
  <c r="K228" i="8"/>
  <c r="K227" i="8"/>
  <c r="K226" i="8"/>
  <c r="J235" i="8"/>
  <c r="J232" i="8"/>
  <c r="J231" i="8"/>
  <c r="J230" i="8"/>
  <c r="J229" i="8"/>
  <c r="J228" i="8"/>
  <c r="J227" i="8"/>
  <c r="J226" i="8"/>
  <c r="I235" i="8"/>
  <c r="I232" i="8"/>
  <c r="I231" i="8"/>
  <c r="I230" i="8"/>
  <c r="I229" i="8"/>
  <c r="I228" i="8"/>
  <c r="I227" i="8"/>
  <c r="I226" i="8"/>
  <c r="H235" i="8"/>
  <c r="H232" i="8"/>
  <c r="H231" i="8"/>
  <c r="H230" i="8"/>
  <c r="H229" i="8"/>
  <c r="H228" i="8"/>
  <c r="H227" i="8"/>
  <c r="H226" i="8"/>
  <c r="G235" i="8"/>
  <c r="G232" i="8"/>
  <c r="G231" i="8"/>
  <c r="G230" i="8"/>
  <c r="G229" i="8"/>
  <c r="G228" i="8"/>
  <c r="G227" i="8"/>
  <c r="G226" i="8"/>
  <c r="F235" i="8"/>
  <c r="F232" i="8"/>
  <c r="F231" i="8"/>
  <c r="F230" i="8"/>
  <c r="F229" i="8"/>
  <c r="F228" i="8"/>
  <c r="F227" i="8"/>
  <c r="F226" i="8"/>
  <c r="E235" i="8"/>
  <c r="E232" i="8"/>
  <c r="E231" i="8"/>
  <c r="E230" i="8"/>
  <c r="E229" i="8"/>
  <c r="E228" i="8"/>
  <c r="E227" i="8"/>
  <c r="E226" i="8"/>
  <c r="E236" i="8"/>
  <c r="D236" i="8"/>
  <c r="E234" i="8"/>
  <c r="D234" i="8"/>
  <c r="D235" i="8"/>
  <c r="D232" i="8"/>
  <c r="D231" i="8"/>
  <c r="D230" i="8"/>
  <c r="D229" i="8"/>
  <c r="D228" i="8"/>
  <c r="D227" i="8"/>
  <c r="C236" i="8"/>
  <c r="C235" i="8"/>
  <c r="C234" i="8"/>
  <c r="C232" i="8"/>
  <c r="C231" i="8"/>
  <c r="C230" i="8"/>
  <c r="C229" i="8"/>
  <c r="C228" i="8"/>
  <c r="C227" i="8"/>
  <c r="B4" i="6"/>
  <c r="A52" i="2"/>
  <c r="C37" i="2"/>
  <c r="D35" i="2"/>
  <c r="F35" i="2" s="1"/>
  <c r="D34" i="2"/>
  <c r="F34" i="2" s="1"/>
  <c r="D33" i="2"/>
  <c r="F33" i="2" s="1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18" i="8" l="1"/>
  <c r="F220" i="8" s="1"/>
  <c r="F204" i="8"/>
  <c r="F206" i="8" s="1"/>
  <c r="F184" i="8"/>
  <c r="F186" i="8" s="1"/>
  <c r="F171" i="8"/>
  <c r="F173" i="8" s="1"/>
  <c r="D237" i="8"/>
  <c r="E237" i="8"/>
  <c r="F239" i="8"/>
  <c r="F241" i="8" s="1"/>
  <c r="D233" i="8"/>
  <c r="E233" i="8"/>
  <c r="C233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<sst xmlns="http://schemas.openxmlformats.org/spreadsheetml/2006/main" count="3036" uniqueCount="323">
  <si>
    <r>
      <rPr>
        <b/>
        <sz val="14"/>
        <rFont val="Calibri"/>
        <family val="2"/>
        <charset val="238"/>
      </rPr>
      <t xml:space="preserve">Projekt: „PRIČE IZ STEM-a“
</t>
    </r>
    <r>
      <rPr>
        <sz val="10"/>
        <rFont val="Calibri"/>
        <family val="2"/>
        <charset val="238"/>
      </rPr>
      <t>Kod projekta: SF.2.4.06.04.0102</t>
    </r>
  </si>
  <si>
    <t>Plan provedbe aktivnosti i obaveze izvještavanja</t>
  </si>
  <si>
    <t>Oznaka</t>
  </si>
  <si>
    <t>Naziv aktivnosti</t>
  </si>
  <si>
    <t>Početak provedbe aktivnosti (mjesec provedbe)</t>
  </si>
  <si>
    <t>Završetak provedbe aktivnosti (mjesec provedbe projekta)</t>
  </si>
  <si>
    <t>A1</t>
  </si>
  <si>
    <t>1.1 Pohađanje izobrazbi vezanih uz unaprjeđenje kapaciteta za provođenje STEM aktivnosti među djecom i učenicima</t>
  </si>
  <si>
    <t>A2</t>
  </si>
  <si>
    <t>1.2. Studijski posjeti (nacionalnim i inozemnim) organizacijama koje se bave inovativnim metodama prezentacije i približavanja STEM-a djeci i učenicima</t>
  </si>
  <si>
    <t>A3</t>
  </si>
  <si>
    <t>2.1. Organizacija i provođenje izobrazbi od strane partnerskih visokih učilišta i/ili znanstvenih instituta, kojima se educiraju osobe koje su zaposlene/volonteri kod prijavitelja i/ili partnera</t>
  </si>
  <si>
    <t>A4</t>
  </si>
  <si>
    <t>2.2. Mentoriranje za provedbu projektnih aktivnosti s djecom i učenicima i supervizija/nadgledanje provedbe kojima stručnjaci partnerskih visokih učilišta</t>
  </si>
  <si>
    <t>A5</t>
  </si>
  <si>
    <t>3.2. Promocija STEM područja kroz održavanje radionica s djecom i učenicima</t>
  </si>
  <si>
    <t>A6</t>
  </si>
  <si>
    <t>4. Promocija STEM područja na javnim mjestima</t>
  </si>
  <si>
    <t>KV</t>
  </si>
  <si>
    <t>Komunikacija i vidljivost</t>
  </si>
  <si>
    <t>UP</t>
  </si>
  <si>
    <t>Upravljanje projektom</t>
  </si>
  <si>
    <t>godina provedbe</t>
  </si>
  <si>
    <t>mjesec u godini</t>
  </si>
  <si>
    <t>dan u mjesecu</t>
  </si>
  <si>
    <t>početak projekta: 12.3.2025.</t>
  </si>
  <si>
    <t>završetak projekta: 11.3.2028</t>
  </si>
  <si>
    <t>OBAVEZE</t>
  </si>
  <si>
    <t>1.</t>
  </si>
  <si>
    <t>Zahtjev za predujmom maksimalno 40% (14 dana od potpisivanja ugovora)</t>
  </si>
  <si>
    <t>1.1.</t>
  </si>
  <si>
    <t>plan rasporeda potraživanja troškova svih 36 mjeseci</t>
  </si>
  <si>
    <t>1.2.</t>
  </si>
  <si>
    <t>plan nabave</t>
  </si>
  <si>
    <t>2.</t>
  </si>
  <si>
    <t>ZNS svaka tri mjeseca (15 dana od isteka dana sklapanja ugovora)</t>
  </si>
  <si>
    <t>ZNS</t>
  </si>
  <si>
    <t>Datum poćetka izvještajnog razdoblja</t>
  </si>
  <si>
    <t>Dne završetka izvještajnog razdoplja</t>
  </si>
  <si>
    <t>Dne dostave izvještaja</t>
  </si>
  <si>
    <t>ZNS1</t>
  </si>
  <si>
    <t>ZNS2</t>
  </si>
  <si>
    <t>ZNS3</t>
  </si>
  <si>
    <t>ZNS4</t>
  </si>
  <si>
    <t>ZNS5</t>
  </si>
  <si>
    <t>ZNS6</t>
  </si>
  <si>
    <t>ZNS7</t>
  </si>
  <si>
    <t>ZNS8</t>
  </si>
  <si>
    <t>ZNS9</t>
  </si>
  <si>
    <t>ZNS10</t>
  </si>
  <si>
    <t>ZNS11</t>
  </si>
  <si>
    <t>ZAVRŠNI</t>
  </si>
  <si>
    <t>godine provedbe</t>
  </si>
  <si>
    <t>mjeseci provedbe</t>
  </si>
  <si>
    <t>Provedbena radionica STEM</t>
  </si>
  <si>
    <t>Osnovna škola Dalj</t>
  </si>
  <si>
    <t>Osnovna škola Darda</t>
  </si>
  <si>
    <t>Osnovna škola Zmajevac</t>
  </si>
  <si>
    <t>Sjenjak 8, Osijek</t>
  </si>
  <si>
    <t>Žrtava domovinskog rata, Darda</t>
  </si>
  <si>
    <t>Grupa</t>
  </si>
  <si>
    <t xml:space="preserve">Dječji vrtić Sjenčica </t>
  </si>
  <si>
    <t>Dječji vrtić Radost</t>
  </si>
  <si>
    <t>Zagrebačka ulica 2B, Dalj</t>
  </si>
  <si>
    <t>Mjesto provedbe</t>
  </si>
  <si>
    <t>Adresa provedbe</t>
  </si>
  <si>
    <t>Dne. početka provedbe aktivnosti</t>
  </si>
  <si>
    <t>Sat početka provedbe aktivnosti</t>
  </si>
  <si>
    <t>Sat završetka provedbe aktivnosti</t>
  </si>
  <si>
    <t>Dne. završetka provedbe aktivnosti</t>
  </si>
  <si>
    <t>(+90 min)</t>
  </si>
  <si>
    <t>Hotel Waldinger</t>
  </si>
  <si>
    <t>Naziv događanja</t>
  </si>
  <si>
    <t>Nansen dijalog centar</t>
  </si>
  <si>
    <t>STEAM centar</t>
  </si>
  <si>
    <t>Dječji vrtić Snjeguljica</t>
  </si>
  <si>
    <t>J.J. Strossmayera 35, Osijek</t>
  </si>
  <si>
    <t>Ivana Filipovića 69, Višnjevac</t>
  </si>
  <si>
    <t>Dječji vrtić Višnjevac</t>
  </si>
  <si>
    <t>Laskói Általános Iskola-Osnovna škola Lug</t>
  </si>
  <si>
    <t>Školska 6, Lug</t>
  </si>
  <si>
    <t>Osnovna škola Vladimira Becića Osijek</t>
  </si>
  <si>
    <t>Vijenac Augusta Cesarca 36, Osijek</t>
  </si>
  <si>
    <t>Školska 9, Darda</t>
  </si>
  <si>
    <t>Vörösmarti Általános iskola - Osnovna škola Zmajevac</t>
  </si>
  <si>
    <t>Sportska ulica 2A, Zmajevac</t>
  </si>
  <si>
    <t>Osnovna škola "Mladost" Osijek</t>
  </si>
  <si>
    <t>Sijenjak 7, Osijek</t>
  </si>
  <si>
    <t>Organizator</t>
  </si>
  <si>
    <t>Provoditelj/ica aktivnosti</t>
  </si>
  <si>
    <t>Ana Čalošević</t>
  </si>
  <si>
    <t>Marina Dokić</t>
  </si>
  <si>
    <t>Ivana Kovač</t>
  </si>
  <si>
    <t>Maja Husar</t>
  </si>
  <si>
    <t>Marko Rajić</t>
  </si>
  <si>
    <t>Nataša Mesić Muharemi</t>
  </si>
  <si>
    <t>PT2</t>
  </si>
  <si>
    <t>Županijska 8, Osijek</t>
  </si>
  <si>
    <t>Cvjetkova 32, Osijek</t>
  </si>
  <si>
    <t>Studijsko putovanje</t>
  </si>
  <si>
    <t>Studijska posjeta - slatkovodni akvarij, Kuća Bajki Ogulin</t>
  </si>
  <si>
    <t>Karlovac, Ogulin, Fužine</t>
  </si>
  <si>
    <t>Ivana Milas, Karmen Salha</t>
  </si>
  <si>
    <t>Tatjana Tomek</t>
  </si>
  <si>
    <t>Zorica Mohnacki</t>
  </si>
  <si>
    <t>Redovni grupni sastanak provoditelja aktivnosti</t>
  </si>
  <si>
    <t>Aktivnost</t>
  </si>
  <si>
    <t>Prvi ciklus radionica za djecu osnovnoškolske dobi (1-4)</t>
  </si>
  <si>
    <t>Prvi ciklus radionica za djecu vrtićke dobi</t>
  </si>
  <si>
    <t>Napomena</t>
  </si>
  <si>
    <t>Zehra Delić (Ivana Milas, Marko Rajić, Maja Husar, Ivana Kovač, Nataša Mesić Muharemi, Zorica Mohnacki, Ana Čalošević, Tatjana Tomek, Marina Dokić i Karmen Salha)</t>
  </si>
  <si>
    <t>Ivana Milas (djelatnici i volonteri Nansen dijalog centra i STEAM centra)</t>
  </si>
  <si>
    <t>dne</t>
  </si>
  <si>
    <r>
      <rPr>
        <b/>
        <sz val="10"/>
        <color theme="1"/>
        <rFont val="Calibri"/>
        <family val="2"/>
        <charset val="238"/>
      </rPr>
      <t>Nositelj projekta:</t>
    </r>
    <r>
      <rPr>
        <sz val="10"/>
        <color theme="1"/>
        <rFont val="Calibri"/>
        <family val="2"/>
        <charset val="238"/>
      </rPr>
      <t xml:space="preserve"> Nansen dijalog centar</t>
    </r>
  </si>
  <si>
    <r>
      <rPr>
        <b/>
        <sz val="10"/>
        <color theme="1"/>
        <rFont val="Calibri"/>
        <family val="2"/>
        <charset val="238"/>
      </rPr>
      <t xml:space="preserve">Projektni partneri: </t>
    </r>
    <r>
      <rPr>
        <sz val="10"/>
        <color theme="1"/>
        <rFont val="Calibri"/>
        <family val="2"/>
        <charset val="238"/>
      </rPr>
      <t>STEAM centar ◦ Medicinski fakultet Osijek ◦ Dječji vrtić Osijek ◦ Dječji vrtić Zvončić Čepin  ◦ Dječji vrtić Radost Darda ◦ Dječji vrtić Snjeguljica</t>
    </r>
  </si>
  <si>
    <t>Projekt: "PRIČE IZ STEM-a"</t>
  </si>
  <si>
    <r>
      <rPr>
        <b/>
        <sz val="10"/>
        <rFont val="Calibri"/>
        <family val="2"/>
        <charset val="238"/>
      </rPr>
      <t>Kod projekta:</t>
    </r>
    <r>
      <rPr>
        <sz val="10"/>
        <rFont val="Calibri"/>
        <family val="2"/>
        <charset val="238"/>
      </rPr>
      <t xml:space="preserve"> SF.2.4.06.04.0102</t>
    </r>
  </si>
  <si>
    <r>
      <rPr>
        <b/>
        <sz val="10"/>
        <rFont val="Calibri"/>
        <family val="2"/>
        <charset val="238"/>
      </rPr>
      <t>Razdoblje provedbe:</t>
    </r>
    <r>
      <rPr>
        <sz val="10"/>
        <rFont val="Calibri"/>
        <family val="2"/>
        <charset val="238"/>
      </rPr>
      <t xml:space="preserve"> 12.3.2025. do 12.3.2028.</t>
    </r>
  </si>
  <si>
    <t>Osnovna škola Vijenac</t>
  </si>
  <si>
    <t>Vijenac Ivana Meštrovića 36, Osijek</t>
  </si>
  <si>
    <t>U tijeku je istraživanje tržišta. Satnica polaska i povratka još nije potvrđena.</t>
  </si>
  <si>
    <t>Osnovna škola Lug</t>
  </si>
  <si>
    <t>Radionica za djecu od 6-10 godina C1R1</t>
  </si>
  <si>
    <t>Radionica za djecu od 6-10 godina C1R2</t>
  </si>
  <si>
    <t>Radionica za djecu od 6-10 godina C1R3</t>
  </si>
  <si>
    <t>Radionica za djecu od 6-10 godina C1R4</t>
  </si>
  <si>
    <t>Radionica za djecu od 6-10 godina C1R5</t>
  </si>
  <si>
    <t>Radionica za djecu od 4-6 godina C1R1</t>
  </si>
  <si>
    <t>Radionica za djecu od 4-6 godina C1R2</t>
  </si>
  <si>
    <t>Radionica za djecu od 4-6 godina C1R3</t>
  </si>
  <si>
    <t>Radionica za djecu od 4-6 godina C1R4</t>
  </si>
  <si>
    <t>Dječji vrtić Radost Darda</t>
  </si>
  <si>
    <t>Dječji vrtić Sjenčica Osijek</t>
  </si>
  <si>
    <t>Radionica za djecu od 4-6 godina C1R1 G2</t>
  </si>
  <si>
    <t>Radionica za djecu od 4-6 godina C1R1 G1</t>
  </si>
  <si>
    <t>Radionica za djecu od 4-6 godina C1R2 G1</t>
  </si>
  <si>
    <t>Radionica za djecu od 4-6 godina C1R3 G1</t>
  </si>
  <si>
    <t>Radionica za djecu od 4-6 godina C1R4 G1</t>
  </si>
  <si>
    <t>Radionica za djecu od 4-6 godina C1R2 G2</t>
  </si>
  <si>
    <t>Dječji vrtić Snjeguljica Osijek</t>
  </si>
  <si>
    <t>Radionica za djecu od 4-6 godina C1R3 G2</t>
  </si>
  <si>
    <t>Radionica za djecu od 4-6 godina C1R4 G2</t>
  </si>
  <si>
    <t>Radionica</t>
  </si>
  <si>
    <t>Kada</t>
  </si>
  <si>
    <t>Gdje</t>
  </si>
  <si>
    <t>"Izneseni stavovi i mišljenja samo su autorova i ne odražavaju nužno službena stajališta Europske unije ili Europske komisije. Ni Europska unija ni Europska komisija ne mogu se smatrati odgovornima za njih."</t>
  </si>
  <si>
    <t>datum</t>
  </si>
  <si>
    <t>Kalendar aktivnosti za period od 1. do 31. svibanj 2025.</t>
  </si>
  <si>
    <t xml:space="preserve">Znanstveno-popularno događanje za djecu na javnom mjestu </t>
  </si>
  <si>
    <t>Radionica / S.put./ J.događ. (BR)</t>
  </si>
  <si>
    <t>Ivana Milas, Zorica Mohnacki</t>
  </si>
  <si>
    <t>Prezentacija programa Priče iz STEM-a u sklopu Dana škole s ciljem popularizacije programa među učenicima i ukljućivanja novih učenika u naredni ciklus radionica</t>
  </si>
  <si>
    <t>Aktivnost je u fazi istraživanja tržišta sa svrhom pronalaženje predavača koji imaju znanje, vještine i kompetencije iz tema za koje je planitana edukacija.</t>
  </si>
  <si>
    <t>Kako je planirano, prvo od tri studijska putovanja provedeno je u travnju 2025. U svibnju nemamo planiranih putovanja.</t>
  </si>
  <si>
    <t>Aktivnost je u fazi pripreme radionica i dogovaranja termina provedbe. Nacrtom plana provedbe s radionicama se planira započeti u mjesecu lipnju 2025</t>
  </si>
  <si>
    <t>Prvi od 12 mentorskih sastanaka proveden je u ožujku. Za mjesec svibanj planirane su individualne konzultacije s provoditeljima po potrebi.</t>
  </si>
  <si>
    <t>Promocija STEM područja kroz održavanje radionica s djecom i učenicima</t>
  </si>
  <si>
    <t>Provoditelj/ica</t>
  </si>
  <si>
    <t>Broj radionica s djecom / učenicima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</si>
  <si>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</si>
  <si>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</si>
  <si>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</si>
  <si>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</si>
  <si>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</si>
  <si>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</si>
  <si>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</si>
  <si>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</si>
  <si>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</si>
  <si>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kontrola NDC</t>
  </si>
  <si>
    <t>Nansen dijalog centar ukupno</t>
  </si>
  <si>
    <t>STEAM centar ukupno</t>
  </si>
  <si>
    <t>3.2. Promocija STEM područja kroz održavanje radionica s djecom i učenicima - UKUPNO MJESEČNO</t>
  </si>
  <si>
    <t>Stručni suradnik/ca</t>
  </si>
  <si>
    <t>Naziv edukacije</t>
  </si>
  <si>
    <t>Razvoj divergentnog razmišljanja kod djece</t>
  </si>
  <si>
    <t>Korištenje digitalnih alata u STEM aktivnostima</t>
  </si>
  <si>
    <t>Pripovijedanje kao alat u poučavanju STEM-a</t>
  </si>
  <si>
    <t>Studijska posjeta</t>
  </si>
  <si>
    <t>SP Budimpešta</t>
  </si>
  <si>
    <t>SP Park znanosti u Oroslavju i Regionalni znanstveni centar LORI u Ludbregu</t>
  </si>
  <si>
    <t xml:space="preserve">1. Moje tijelo kroz VR naočare </t>
  </si>
  <si>
    <t xml:space="preserve">2. Sustanari pod mikroskopom </t>
  </si>
  <si>
    <t xml:space="preserve">3. Mikroskopski pomagači u kuhinji </t>
  </si>
  <si>
    <t xml:space="preserve">4. Mikroskopski vrtlari </t>
  </si>
  <si>
    <t>5. Čime se hrane moje stanice</t>
  </si>
  <si>
    <t xml:space="preserve">6. Jedem zdravo - rastem pravo </t>
  </si>
  <si>
    <t xml:space="preserve">7. Spavam da narastem/ Spavaju li bubamare? </t>
  </si>
  <si>
    <t xml:space="preserve">8. 'Bodybuilding for brainbuilding' - 'Pametne' vježbe </t>
  </si>
  <si>
    <t>9. Čitanje lica/ Jesu li životinje u zoološkom vrtu sretne</t>
  </si>
  <si>
    <t xml:space="preserve">10. Vrt noću </t>
  </si>
  <si>
    <t>2.1. Organizacija i provođenje izobrazbi  - UKUPNO 2025</t>
  </si>
  <si>
    <t>2.1. Organizacija i provođenje izobrazbi  - RAZLIKA</t>
  </si>
  <si>
    <t>1.1 Pohađanje izobrazbi  - UKUPNO 2025</t>
  </si>
  <si>
    <t>1.1 Pohađanje izobrazbi  - RAZLIKA</t>
  </si>
  <si>
    <t>1.2. Studijski posjeti (nacionalnim i inozemnim) - UKUPNO 2025</t>
  </si>
  <si>
    <t>1.2. Studijski posjeti (nacionalnim i inozemnim) - RAZLIKA</t>
  </si>
  <si>
    <t>1.2. Studijski posjeti (nacionalnim i inozemnim) - MJESEČNO</t>
  </si>
  <si>
    <t>1.1 Pohađanje izobrazbi  - MJESEČNO</t>
  </si>
  <si>
    <t>2.1. Organizacija i provođenje izobrazbi  - MJESEČNO</t>
  </si>
  <si>
    <t>ožujak</t>
  </si>
  <si>
    <t>2.2. Mentoriranje za provedbu projektnih aktivnosti  - MJESEČNO</t>
  </si>
  <si>
    <t>2.2. Mentoriranje za provedbu projektnih aktivnosti  - RAZLIKA</t>
  </si>
  <si>
    <t>2.2. Mentoriranje za provedbu projektnih aktivnosti  - UKUPNO 12.3.2025 - 12.3.2026</t>
  </si>
  <si>
    <t>2.2. Mentoriranje za provedbu projektnih aktivnosti - PLANIRANO UKUPNO 12.3.2025 - 12.3.2026</t>
  </si>
  <si>
    <t>3.2. Promocija STEM područja kroz održavanje radionica s djecom i učenicima - PLANIRANO 12.3.2025 - 12.3.2026</t>
  </si>
  <si>
    <t>3.2. Promocija STEM područja kroz održavanje radionica s djecom i učenicima - UKUPNO 12.3.2025 - 12.3.2026</t>
  </si>
  <si>
    <t xml:space="preserve">3.2. Promocija STEM područja kroz održavanje radionica s djecom i učenicima - RAZLIKA </t>
  </si>
  <si>
    <t>2.1. Organizacija i provođenje izobrazbi - PLANIRANO (DO 12.9.2027)</t>
  </si>
  <si>
    <t>1.2. Studijski posjeti (nacionalnim i inozemnim) - PLANIRANO (DO 12.9.2027)</t>
  </si>
  <si>
    <t>1.1 Pohađanje izobrazbi - PLANIRANO (DO 12.9.2027)</t>
  </si>
  <si>
    <t xml:space="preserve">Mentorski </t>
  </si>
  <si>
    <t>4. Promocija STEM područja na javnim mjestima  - MJESEČNO</t>
  </si>
  <si>
    <t>4. Promocija STEM područja na javnim mjestima  - UKUPNO 2025</t>
  </si>
  <si>
    <t>4. Promocija STEM područja na javnim mjestima - PLANIRANO U 2025</t>
  </si>
  <si>
    <t>4. Promocija STEM područja na javnim mjestima - RAZLIKA</t>
  </si>
  <si>
    <t>LOKACIJA / DOGAĐANJE</t>
  </si>
  <si>
    <t>Broj javnih objava radi informiranja o mogućnostima sudjelovanja na projektu putem različitih komunikacijskih kanala</t>
  </si>
  <si>
    <t>Broj javnih objava   - UKUPNO 12.3.2025 - 12.3.2026</t>
  </si>
  <si>
    <t>Broj javnih objava  - PLANIRANO UKUPNO 12.3.2025 - 12.3.2026</t>
  </si>
  <si>
    <t>Broj javnih objava   - RAZLIKA</t>
  </si>
  <si>
    <t>Broj javnih objava  - MJESEČNO</t>
  </si>
  <si>
    <t>Provedbom ove aktivnosti u svakoj će godini provedbe biti napravljeno najmanje 12 (ukupno minimalno 36 na razini projekta) javnih objava radi informiranja javnosti o mogućnostima sudjelovanja na projektnim aktivnostima putem različitih komunikacijskih kanala. Kroz objave osigurat će se vidljivost projekta te mogućnost ravnomjernog uključivanja djece u projektne aktivnosti.</t>
  </si>
  <si>
    <t>Provedbom ove aktivnosti osigurat će se objavljivanje najmanje 2 objave godišnje (ukupno minimalno 9), o dobivenoj potpori ESF+, na interneskim stranicama prijavitelja i/ili partnera.</t>
  </si>
  <si>
    <t>Broj objava na internetskim stranicama prijavitelja i/ili partnera o potpori dobivenoj iz ESF+</t>
  </si>
  <si>
    <t>Broj objava na internetskim stranicama   - UKUPNO 12.3.2025 - 12.3.2026</t>
  </si>
  <si>
    <t>Broj objava na internetskim stranicama  - PLANIRANO UKUPNO 12.3.2025 - 12.3.2026</t>
  </si>
  <si>
    <t>Broj objava na internetskim stranicama   - RAZLIKA</t>
  </si>
  <si>
    <t>Broj snimljenih i objavljenih promotivnih video snimaka o projektu</t>
  </si>
  <si>
    <t>Broj promotivnih videa  - MJESEČNO</t>
  </si>
  <si>
    <t>Broj promotivnih videa   - UKUPNO 12.3.2025 - 12.3.2026</t>
  </si>
  <si>
    <t>Broj promotivnih videa  - PLANIRANO UKUPNO 12.3.2025 - 12.3.2026</t>
  </si>
  <si>
    <t>Broj promotivnih videa   - RAZLIKA</t>
  </si>
  <si>
    <t>Provedbom ove aktivnosti bit će napravljeno minimalno 12 promotivnih videa o projektu u svakoj godini provedbe aktivnosti (minimalno 36 za vrijeme trajanja projekta). Objavom promotivnih video snimaka osigurat će se vidljivost financiranja projekta sredstvima iz ESF+.</t>
  </si>
  <si>
    <t>Provedbom ove aktivnosti osigurat će se najmanje jedno vanjsko oglašavanje godišnje (ukupno 3). Vanjskim oglašavanjem osigurat će se vidljivost financiranja projekta sredstvima iz ESF+.</t>
  </si>
  <si>
    <t>Broj vanjskog oglašavanja (npr. plakati, billboardi, svjetleće reklame - tzv. ''city light'', zidne reklame ili drugi jednakovrijedan način.)</t>
  </si>
  <si>
    <t>Broj vanjskih oglašavanja  - MJESEČNO</t>
  </si>
  <si>
    <t>Broj vanjskih oglašavanja  - UKUPNO 12.3.2025 - 12.3.2026</t>
  </si>
  <si>
    <t>Broj vanjskih oglašavanja  - PLANIRANO UKUPNO 12.3.2025 - 12.3.2026</t>
  </si>
  <si>
    <t>Broj vanjskih oglašavanja  - RAZLIKA</t>
  </si>
  <si>
    <t>INDIKATORI 2025</t>
  </si>
  <si>
    <t>Aktivnosti za period  2025.</t>
  </si>
  <si>
    <t>Radionica / S.put./ J.događ./Objava (BR)</t>
  </si>
  <si>
    <t>COUNTIF(C1:C150;"Broj javnih objava radi informiranja o mogućnostima sudjelovanja na projektu putem različitih komunikacijskih kanala";D1:D150)</t>
  </si>
  <si>
    <t xml:space="preserve">
Izneseni stavovi i mišljenja samo su autorova i ne odražavaju nužno službena stajališta Europske unije ili Europske komisije. Ni Europska unija ni Europska komisija ne mogu se smatrati odgovornima za njih.</t>
  </si>
  <si>
    <r>
      <t xml:space="preserve">Na zahtjev Škole izmijenjeno je vrijeme početka i završetka aktivnosti s prvotno planiranih 18:00 (+60 min) na 17:30h do 18:30h.
</t>
    </r>
    <r>
      <rPr>
        <sz val="10"/>
        <rFont val="Calibri"/>
        <family val="2"/>
        <charset val="238"/>
      </rPr>
      <t>Prezentacija programa Priče iz STEM-a u sklopu Dana škole s ciljem popularizacije programa među učenicima i uključivanja novih učenika u naredni ciklus radionica</t>
    </r>
  </si>
  <si>
    <t>Izmijenjeno je vrijeme radionice s 13:00h (+90 min) u 8:30h (+90 min)</t>
  </si>
  <si>
    <t>Radionica je premještena na datum 28. svibnja.</t>
  </si>
  <si>
    <t>Radionica je prvotno planirana na datum 28.5.2025. u 13:00h. Uveden je novi datum radionice zbog provedbe terenske nastave u Pečuhu na kojoj sudjeluju djeca uključena u aktivnosti projekta i premještanja datuma provedbe radionice C1R10.</t>
  </si>
  <si>
    <t>Radionica je premještena na datum 23.5.2025. na zahtjev Partnera DV Višnjevac zbog internih aktivnosti koje će se provoditi u isto vrijeme u prostoru koji je namijenjen provedbi aktivnosti 3.2. Projekta.</t>
  </si>
  <si>
    <t>Izmjena se odnosi na broj radionice zbog premještanja planirane aktivnosti na datum 13.5.2025.</t>
  </si>
  <si>
    <t>Izmijenjen je broj radionice i vrijeme provedbe radionice s 13:00h (+90 min) u 8:30h (+90 min). Radionica je prvotno planirana na datum 29.5.2025. u 13:00h. Termin je promijenjen zbog provedbe terenske nastave u Pečuhu na kojoj sudjeluju djeca uključena u aktivnosti projekta.</t>
  </si>
  <si>
    <t>Mijenja se broj radionice.</t>
  </si>
  <si>
    <t>Prvotno je planirano na ovaj datum održati radionicu broj 10. Radionica br. 10. provesti će se na dne.26.5. u isto vrijeme.</t>
  </si>
  <si>
    <t>Radionicu je prvotno bilo planirano provesti 29.5. u isto vrijeme</t>
  </si>
  <si>
    <t>Na zahtjev Škole, termin radionice premješten je na datum 26.5. u usto vrijeme.</t>
  </si>
  <si>
    <t>Prvotno planirani datum bio je 23.5. u isto vrijeme.</t>
  </si>
  <si>
    <t>Termin radionice otkazan je na zahtjev Škole. Radionica br. 10. provesti će se na datum 28.5. u isto vrijeme.</t>
  </si>
  <si>
    <t>STEM festival Donji Andrijevci</t>
  </si>
  <si>
    <t xml:space="preserve">Trg dr. Franje Tuđmana 1, Donji Andrijevci
- ispred zgrade Općine Donji Andrijevci, </t>
  </si>
  <si>
    <t>Javna prezentacija aktivnosti s ciljem popularizacije programa među djecom i učenicima te uključivanja novih korisnika u naredni ciklus radionica programa "Priče iz STEM-a"</t>
  </si>
  <si>
    <t>25. Međunarodni etno susreti u Bilju</t>
  </si>
  <si>
    <t>Ul. Šandora Petefija 33, Bilje
- park ispred dvorca Eugena Savojskog</t>
  </si>
  <si>
    <t>Kalendar aktivnosti za period od 1. do 30. lipnja 2025.</t>
  </si>
  <si>
    <t>S partnerom, Medicinskim fakultetom u Osijeku, dogovoren je početak edukacija u srpnju 2025. godine</t>
  </si>
  <si>
    <t>Koordinatorica aktivnosti, Provoditelji/ce aktivnosti, Volonteri/ke</t>
  </si>
  <si>
    <t>Dana Općine Darda</t>
  </si>
  <si>
    <t>(+60 min)</t>
  </si>
  <si>
    <t>Drugi mentorski sastanak i konzultacije u živo s provoditeljima/icama aktivnosti.</t>
  </si>
  <si>
    <t>Mentorski sastanak i konzultacije</t>
  </si>
  <si>
    <t>Ul. Ivana Gundulića 15, Darda
- Jezero Đola</t>
  </si>
  <si>
    <t>Srednja škola Dalj</t>
  </si>
  <si>
    <t>Ul. Braće Radić 7, Dalj</t>
  </si>
  <si>
    <t>Marija Hefer, Ivana Milas, Zehra Delić, provoditelji/ce aktivnosti i volonteri</t>
  </si>
  <si>
    <t>Prvotno planirani datum radionice bio je 27.6.2025.</t>
  </si>
  <si>
    <t>Na zahtjev uprave vrtića radionica je premještena na datum 25.6.2025. u isto vrijeme.</t>
  </si>
  <si>
    <t>Prvotno planirani datum radionice bio je 12.6.2025. Mijenja se broj radionice.</t>
  </si>
  <si>
    <t>Prvotno planirani datum radionice bio je 26.6.2025.</t>
  </si>
  <si>
    <t>Datum radionice premješta se na 20.6.2025.</t>
  </si>
  <si>
    <t>Edukacija / S.put./ Radionica / J.događ. (BR)</t>
  </si>
  <si>
    <t xml:space="preserve">Dječji vrtić Zvončić </t>
  </si>
  <si>
    <t>Osnovna škola "Tin Ujević"</t>
  </si>
  <si>
    <t>Ul. Grada Vukovara 2, Čepin</t>
  </si>
  <si>
    <t>Opatijska ulica 46, Osijek</t>
  </si>
  <si>
    <t>Sjenjak 7, Osijek</t>
  </si>
  <si>
    <t>Ivana Kovač Brnjevarac</t>
  </si>
  <si>
    <t>Kalendar aktivnosti za razdoblje od 16. do 31. ožujka 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</si>
  <si>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>- Predstavljamo priču</t>
    </r>
  </si>
  <si>
    <t>3.3.2026.</t>
  </si>
  <si>
    <r>
      <t xml:space="preserve">Drugi  ciklus radionica za djecu osnovnoškolske dobi dobi (1-4)
</t>
    </r>
    <r>
      <rPr>
        <sz val="10"/>
        <rFont val="Calibri"/>
        <family val="2"/>
      </rPr>
      <t>- Lug u STEM-u</t>
    </r>
  </si>
  <si>
    <t xml:space="preserve">Laskói Általános Iskola-Osnovna škola Lug
</t>
  </si>
  <si>
    <r>
      <t xml:space="preserve">Drugi  ciklus radionica za djecu osnovnoškolske dobi dobi (1-4)
</t>
    </r>
    <r>
      <rPr>
        <sz val="10"/>
        <rFont val="Calibri"/>
        <family val="2"/>
      </rPr>
      <t>-</t>
    </r>
    <r>
      <rPr>
        <sz val="10"/>
        <rFont val="Calibri"/>
        <family val="2"/>
        <charset val="238"/>
      </rPr>
      <t>Maštamo likove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</si>
  <si>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Ja sam dio cjeline I</t>
    </r>
  </si>
  <si>
    <t>23.3.2026.</t>
  </si>
  <si>
    <t>18.3.2026.</t>
  </si>
  <si>
    <t>16.3.2026.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</si>
  <si>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Upoznavanje - Zašto je ovaj broj važan za mene?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</si>
  <si>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STEMci- osmišljavanje likova</t>
    </r>
  </si>
  <si>
    <t>Osnovna škola Zmajevac
- područna škola Suza</t>
  </si>
  <si>
    <t>Trg Ač Gedeona 9, Suza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</si>
  <si>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Dobro došli STEMOVCI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</si>
  <si>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Naš lik, naša priča</t>
    </r>
  </si>
  <si>
    <r>
      <t xml:space="preserve">Drugi  ciklus radionica za djecu osnovnoškolske dobi dobi (1-4)
</t>
    </r>
    <r>
      <rPr>
        <sz val="10"/>
        <rFont val="Calibri"/>
        <family val="2"/>
      </rPr>
      <t>- Uvodna radionica</t>
    </r>
  </si>
  <si>
    <t>25.3.2026.</t>
  </si>
  <si>
    <t>Drugi  ciklus radionica za djecu osnovnoškolske dobi dobi (1-4)
- Maštamo likove</t>
  </si>
  <si>
    <t>Ul. Žrtava Domovinskog rata 77A, Darda</t>
  </si>
  <si>
    <t>Drugi  ciklus radionica za djecu predškolske dobi dobi
- Međusobno upoznavanje i maštanje likova</t>
  </si>
  <si>
    <t>Drugi  ciklus radionica za djecu predškolske dobi dobi
- Pravilna prehrana</t>
  </si>
  <si>
    <t>Drugi  ciklus radionica za djecu predškolske dobi dobi
- Dijelovi tijela</t>
  </si>
  <si>
    <t>30.3.2026.</t>
  </si>
  <si>
    <t xml:space="preserve">Drugi  ciklus radionica za djecu osnovnoškolske dobi dobi (1-4)
- </t>
  </si>
  <si>
    <t>17.3.2026.</t>
  </si>
  <si>
    <t>Drugi  ciklus radionica za djecu osnovnoškolske dobi dobi (1-4)
- Moj junak(inja)</t>
  </si>
  <si>
    <t>20.3.2026.</t>
  </si>
  <si>
    <t>Drugi  ciklus radionica za djecu osnovnoškolske dobi dobi (1-4)
- Zajednica</t>
  </si>
  <si>
    <t>27.3.2026.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</si>
  <si>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Uvodna radionica</t>
    </r>
  </si>
  <si>
    <r>
      <t xml:space="preserve">Drugi  ciklus radionica za djecu predškolske dobi dobi
</t>
    </r>
    <r>
      <rPr>
        <sz val="10"/>
        <rFont val="Calibri"/>
        <family val="2"/>
      </rPr>
      <t xml:space="preserve">- </t>
    </r>
    <r>
      <rPr>
        <sz val="10"/>
        <rFont val="Calibri"/>
        <family val="2"/>
        <charset val="238"/>
      </rPr>
      <t>Međusobno upoznavanje i maštanje likova</t>
    </r>
  </si>
  <si>
    <t>19.3.2026.</t>
  </si>
  <si>
    <t>26.3.2026.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</si>
  <si>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>- Maštamo likove</t>
    </r>
  </si>
  <si>
    <t>Monika Ivanović</t>
  </si>
  <si>
    <t>OŠ "Vijenac"</t>
  </si>
  <si>
    <t>Drugi  ciklus radionica za djecu osnovnoškolske dobi dobi (1-4)
- Uvodna radionica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</si>
</sst>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3"/>
      <color rgb="FF002060"/>
      <name val="Calibri"/>
      <family val="2"/>
      <charset val="238"/>
    </font>
    <font>
      <b/>
      <sz val="10"/>
      <name val="Arial"/>
      <family val="2"/>
      <charset val="238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Calibri"/>
      <family val="2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9"/>
      <color rgb="FF323C8C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0"/>
      <color theme="7"/>
      <name val="Calibri"/>
      <family val="2"/>
      <charset val="238"/>
    </font>
    <font>
      <b/>
      <sz val="12"/>
      <color theme="7"/>
      <name val="Calibri"/>
      <family val="2"/>
      <charset val="238"/>
    </font>
    <font>
      <b/>
      <sz val="12"/>
      <color theme="7"/>
      <name val="Aptos Narrow"/>
      <family val="2"/>
      <charset val="238"/>
      <scheme val="minor"/>
    </font>
    <font>
      <b/>
      <sz val="10"/>
      <color theme="9" tint="-0.249977111117893"/>
      <name val="Calibri"/>
      <family val="2"/>
      <charset val="238"/>
    </font>
    <font>
      <b/>
      <sz val="11"/>
      <color theme="9" tint="-0.249977111117893"/>
      <name val="Aptos Narrow"/>
      <family val="2"/>
      <charset val="238"/>
      <scheme val="minor"/>
    </font>
    <font>
      <b/>
      <sz val="10"/>
      <color theme="8" tint="-0.499984740745262"/>
      <name val="Calibri"/>
      <family val="2"/>
      <charset val="238"/>
    </font>
    <font>
      <b/>
      <sz val="11"/>
      <color theme="8" tint="-0.499984740745262"/>
      <name val="Aptos Narrow"/>
      <family val="2"/>
      <charset val="238"/>
      <scheme val="minor"/>
    </font>
    <font>
      <b/>
      <sz val="10"/>
      <color theme="7"/>
      <name val="Calibri"/>
      <family val="2"/>
      <charset val="238"/>
    </font>
    <font>
      <b/>
      <sz val="11"/>
      <color theme="7"/>
      <name val="Aptos Narrow"/>
      <family val="2"/>
      <charset val="238"/>
      <scheme val="minor"/>
    </font>
    <font>
      <b/>
      <sz val="22"/>
      <color theme="7"/>
      <name val="Calibri"/>
      <family val="2"/>
      <charset val="238"/>
    </font>
    <font>
      <b/>
      <sz val="22"/>
      <color theme="7"/>
      <name val="Aptos Narrow"/>
      <family val="2"/>
      <charset val="238"/>
      <scheme val="minor"/>
    </font>
    <font>
      <b/>
      <sz val="10"/>
      <color rgb="FFFF0000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trike/>
      <sz val="10"/>
      <name val="Calibri"/>
      <family val="2"/>
      <charset val="238"/>
    </font>
    <font>
      <sz val="10"/>
      <color rgb="FFC00000"/>
      <name val="Calibri"/>
      <family val="2"/>
      <charset val="238"/>
    </font>
    <font>
      <strike/>
      <sz val="10"/>
      <color rgb="FFC00000"/>
      <name val="Calibri"/>
      <family val="2"/>
      <charset val="238"/>
    </font>
    <font>
      <sz val="10"/>
      <color theme="0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trike/>
      <sz val="11"/>
      <color rgb="FFFF0000"/>
      <name val="Aptos Narrow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rgb="FFFCF6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3B08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EDA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72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/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center"/>
    </xf>
    <xf numFmtId="14" fontId="1" fillId="0" borderId="0" xfId="1" applyNumberForma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horizontal="justify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vertical="center"/>
    </xf>
    <xf numFmtId="0" fontId="2" fillId="0" borderId="18" xfId="1" applyFont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vertical="center"/>
    </xf>
    <xf numFmtId="0" fontId="2" fillId="3" borderId="27" xfId="1" applyFont="1" applyFill="1" applyBorder="1"/>
    <xf numFmtId="0" fontId="2" fillId="3" borderId="29" xfId="1" applyFont="1" applyFill="1" applyBorder="1"/>
    <xf numFmtId="0" fontId="6" fillId="4" borderId="2" xfId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vertical="center"/>
    </xf>
    <xf numFmtId="0" fontId="2" fillId="4" borderId="25" xfId="1" applyFont="1" applyFill="1" applyBorder="1" applyAlignment="1">
      <alignment vertical="center"/>
    </xf>
    <xf numFmtId="0" fontId="2" fillId="4" borderId="6" xfId="1" applyFont="1" applyFill="1" applyBorder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0" xfId="1" applyFont="1" applyBorder="1" applyAlignment="1">
      <alignment horizontal="right" vertical="center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7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14" fontId="2" fillId="0" borderId="7" xfId="1" applyNumberFormat="1" applyFont="1" applyBorder="1"/>
    <xf numFmtId="14" fontId="2" fillId="0" borderId="33" xfId="1" applyNumberFormat="1" applyFont="1" applyBorder="1"/>
    <xf numFmtId="14" fontId="2" fillId="0" borderId="12" xfId="1" applyNumberFormat="1" applyFont="1" applyBorder="1"/>
    <xf numFmtId="0" fontId="10" fillId="0" borderId="0" xfId="1" applyFont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14" fontId="2" fillId="0" borderId="34" xfId="1" applyNumberFormat="1" applyFont="1" applyBorder="1"/>
    <xf numFmtId="14" fontId="2" fillId="0" borderId="35" xfId="1" applyNumberFormat="1" applyFont="1" applyBorder="1"/>
    <xf numFmtId="14" fontId="2" fillId="0" borderId="17" xfId="1" applyNumberFormat="1" applyFont="1" applyBorder="1"/>
    <xf numFmtId="0" fontId="11" fillId="0" borderId="0" xfId="1" applyFont="1" applyAlignment="1">
      <alignment horizontal="left" vertical="center"/>
    </xf>
    <xf numFmtId="0" fontId="2" fillId="0" borderId="19" xfId="1" applyFont="1" applyBorder="1" applyAlignment="1">
      <alignment horizontal="center" vertical="center"/>
    </xf>
    <xf numFmtId="14" fontId="2" fillId="0" borderId="19" xfId="1" applyNumberFormat="1" applyFont="1" applyBorder="1"/>
    <xf numFmtId="14" fontId="2" fillId="0" borderId="26" xfId="1" applyNumberFormat="1" applyFont="1" applyBorder="1"/>
    <xf numFmtId="14" fontId="2" fillId="0" borderId="24" xfId="1" applyNumberFormat="1" applyFont="1" applyBorder="1"/>
    <xf numFmtId="14" fontId="6" fillId="0" borderId="0" xfId="1" applyNumberFormat="1" applyFont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14" fontId="2" fillId="0" borderId="27" xfId="1" applyNumberFormat="1" applyFont="1" applyBorder="1"/>
    <xf numFmtId="0" fontId="7" fillId="0" borderId="0" xfId="1" applyFont="1" applyAlignment="1">
      <alignment horizontal="center" vertical="center"/>
    </xf>
    <xf numFmtId="14" fontId="2" fillId="0" borderId="0" xfId="1" applyNumberFormat="1" applyFont="1"/>
    <xf numFmtId="14" fontId="1" fillId="0" borderId="0" xfId="1" applyNumberFormat="1"/>
    <xf numFmtId="1" fontId="1" fillId="0" borderId="0" xfId="1" applyNumberFormat="1"/>
    <xf numFmtId="0" fontId="13" fillId="0" borderId="0" xfId="0" applyFont="1"/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3" fillId="6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6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4" fontId="13" fillId="8" borderId="1" xfId="0" applyNumberFormat="1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0" fontId="0" fillId="0" borderId="0" xfId="0" applyNumberFormat="1"/>
    <xf numFmtId="0" fontId="19" fillId="10" borderId="1" xfId="0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14" fontId="13" fillId="12" borderId="1" xfId="0" applyNumberFormat="1" applyFont="1" applyFill="1" applyBorder="1" applyAlignment="1">
      <alignment horizontal="left" vertical="center" wrapText="1"/>
    </xf>
    <xf numFmtId="20" fontId="13" fillId="12" borderId="1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14" fontId="2" fillId="13" borderId="1" xfId="0" applyNumberFormat="1" applyFont="1" applyFill="1" applyBorder="1" applyAlignment="1">
      <alignment horizontal="left" vertical="center" wrapText="1"/>
    </xf>
    <xf numFmtId="20" fontId="2" fillId="13" borderId="1" xfId="0" applyNumberFormat="1" applyFont="1" applyFill="1" applyBorder="1" applyAlignment="1">
      <alignment horizontal="left" vertical="center" wrapText="1"/>
    </xf>
    <xf numFmtId="14" fontId="14" fillId="13" borderId="1" xfId="0" applyNumberFormat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14" fontId="22" fillId="0" borderId="1" xfId="0" applyNumberFormat="1" applyFont="1" applyBorder="1" applyAlignment="1">
      <alignment horizontal="left" vertical="center" wrapText="1"/>
    </xf>
    <xf numFmtId="14" fontId="22" fillId="12" borderId="1" xfId="0" applyNumberFormat="1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25" fillId="14" borderId="1" xfId="0" applyFont="1" applyFill="1" applyBorder="1" applyAlignment="1">
      <alignment horizontal="left" vertical="center" indent="1"/>
    </xf>
    <xf numFmtId="0" fontId="25" fillId="14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left" vertical="center" indent="1"/>
    </xf>
    <xf numFmtId="0" fontId="12" fillId="13" borderId="37" xfId="0" applyFont="1" applyFill="1" applyBorder="1" applyAlignment="1">
      <alignment horizontal="right" vertical="center" indent="1"/>
    </xf>
    <xf numFmtId="0" fontId="12" fillId="13" borderId="38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right" vertical="center" indent="1"/>
    </xf>
    <xf numFmtId="0" fontId="13" fillId="0" borderId="38" xfId="0" applyFont="1" applyBorder="1" applyAlignment="1">
      <alignment horizontal="center" vertical="center"/>
    </xf>
    <xf numFmtId="0" fontId="25" fillId="14" borderId="37" xfId="0" applyFont="1" applyFill="1" applyBorder="1" applyAlignment="1">
      <alignment horizontal="right" vertical="center" indent="1"/>
    </xf>
    <xf numFmtId="0" fontId="25" fillId="14" borderId="38" xfId="0" applyFont="1" applyFill="1" applyBorder="1" applyAlignment="1">
      <alignment horizontal="center" vertical="center"/>
    </xf>
    <xf numFmtId="0" fontId="12" fillId="13" borderId="39" xfId="0" applyFont="1" applyFill="1" applyBorder="1" applyAlignment="1">
      <alignment horizontal="right" vertical="center" indent="1"/>
    </xf>
    <xf numFmtId="0" fontId="24" fillId="13" borderId="26" xfId="0" applyFont="1" applyFill="1" applyBorder="1" applyAlignment="1">
      <alignment horizontal="left" vertical="center" indent="1"/>
    </xf>
    <xf numFmtId="0" fontId="12" fillId="13" borderId="26" xfId="0" applyFont="1" applyFill="1" applyBorder="1" applyAlignment="1">
      <alignment horizontal="center" vertical="center"/>
    </xf>
    <xf numFmtId="0" fontId="12" fillId="13" borderId="40" xfId="0" applyFont="1" applyFill="1" applyBorder="1" applyAlignment="1">
      <alignment horizontal="center" vertical="center"/>
    </xf>
    <xf numFmtId="0" fontId="12" fillId="13" borderId="44" xfId="0" applyFont="1" applyFill="1" applyBorder="1" applyAlignment="1">
      <alignment horizontal="right" vertical="center" indent="1"/>
    </xf>
    <xf numFmtId="0" fontId="12" fillId="13" borderId="18" xfId="0" applyFont="1" applyFill="1" applyBorder="1" applyAlignment="1">
      <alignment horizontal="left" vertical="center" indent="1"/>
    </xf>
    <xf numFmtId="0" fontId="12" fillId="13" borderId="18" xfId="0" applyFont="1" applyFill="1" applyBorder="1" applyAlignment="1">
      <alignment horizontal="center" vertical="center"/>
    </xf>
    <xf numFmtId="0" fontId="12" fillId="13" borderId="45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26" fillId="2" borderId="54" xfId="0" applyFont="1" applyFill="1" applyBorder="1" applyAlignment="1">
      <alignment horizontal="center" vertical="center"/>
    </xf>
    <xf numFmtId="0" fontId="28" fillId="16" borderId="43" xfId="0" applyFont="1" applyFill="1" applyBorder="1" applyAlignment="1">
      <alignment horizontal="center" vertical="center"/>
    </xf>
    <xf numFmtId="0" fontId="30" fillId="15" borderId="55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right" vertical="center" indent="1"/>
    </xf>
    <xf numFmtId="0" fontId="13" fillId="0" borderId="26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37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left" indent="1"/>
    </xf>
    <xf numFmtId="0" fontId="12" fillId="4" borderId="26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2" fillId="2" borderId="67" xfId="0" applyFont="1" applyFill="1" applyBorder="1" applyAlignment="1">
      <alignment horizontal="center" vertical="center"/>
    </xf>
    <xf numFmtId="0" fontId="13" fillId="12" borderId="0" xfId="0" applyFont="1" applyFill="1"/>
    <xf numFmtId="0" fontId="32" fillId="12" borderId="49" xfId="0" applyFont="1" applyFill="1" applyBorder="1" applyAlignment="1">
      <alignment horizontal="left" vertical="center" indent="1"/>
    </xf>
    <xf numFmtId="0" fontId="33" fillId="12" borderId="56" xfId="0" applyFont="1" applyFill="1" applyBorder="1" applyAlignment="1">
      <alignment horizontal="left" vertical="center" indent="1"/>
    </xf>
    <xf numFmtId="0" fontId="32" fillId="12" borderId="56" xfId="0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20" fontId="13" fillId="11" borderId="1" xfId="0" applyNumberFormat="1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center" vertical="center" wrapText="1"/>
    </xf>
    <xf numFmtId="14" fontId="13" fillId="17" borderId="1" xfId="0" applyNumberFormat="1" applyFont="1" applyFill="1" applyBorder="1" applyAlignment="1">
      <alignment horizontal="left" vertical="center" wrapText="1"/>
    </xf>
    <xf numFmtId="20" fontId="13" fillId="17" borderId="1" xfId="0" applyNumberFormat="1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 shrinkToFit="1"/>
    </xf>
    <xf numFmtId="0" fontId="14" fillId="18" borderId="1" xfId="0" applyFont="1" applyFill="1" applyBorder="1" applyAlignment="1">
      <alignment horizontal="left" vertical="center" wrapText="1"/>
    </xf>
    <xf numFmtId="0" fontId="14" fillId="18" borderId="1" xfId="0" applyFont="1" applyFill="1" applyBorder="1" applyAlignment="1">
      <alignment horizontal="center" vertical="center" wrapText="1"/>
    </xf>
    <xf numFmtId="14" fontId="14" fillId="18" borderId="1" xfId="0" applyNumberFormat="1" applyFont="1" applyFill="1" applyBorder="1" applyAlignment="1">
      <alignment horizontal="left" vertical="center" wrapText="1"/>
    </xf>
    <xf numFmtId="20" fontId="14" fillId="18" borderId="1" xfId="0" applyNumberFormat="1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center" vertical="center" wrapText="1"/>
    </xf>
    <xf numFmtId="14" fontId="13" fillId="18" borderId="1" xfId="0" applyNumberFormat="1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center" vertical="center" wrapText="1"/>
    </xf>
    <xf numFmtId="14" fontId="37" fillId="18" borderId="1" xfId="0" applyNumberFormat="1" applyFont="1" applyFill="1" applyBorder="1" applyAlignment="1">
      <alignment horizontal="left" vertical="center" wrapText="1"/>
    </xf>
    <xf numFmtId="0" fontId="36" fillId="18" borderId="1" xfId="0" applyFont="1" applyFill="1" applyBorder="1" applyAlignment="1">
      <alignment horizontal="left" vertical="center" wrapText="1"/>
    </xf>
    <xf numFmtId="20" fontId="37" fillId="18" borderId="1" xfId="0" applyNumberFormat="1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20" fontId="13" fillId="0" borderId="1" xfId="0" applyNumberFormat="1" applyFont="1" applyBorder="1" applyAlignment="1" applyProtection="1">
      <alignment horizontal="left" vertical="center" wrapText="1"/>
      <protection locked="0"/>
    </xf>
    <xf numFmtId="14" fontId="13" fillId="18" borderId="1" xfId="0" applyNumberFormat="1" applyFont="1" applyFill="1" applyBorder="1" applyAlignment="1" applyProtection="1">
      <alignment horizontal="left" vertical="center" wrapText="1"/>
      <protection locked="0"/>
    </xf>
    <xf numFmtId="20" fontId="1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6" fillId="18" borderId="1" xfId="0" applyFont="1" applyFill="1" applyBorder="1" applyAlignment="1" applyProtection="1">
      <alignment horizontal="left" vertical="center" wrapText="1"/>
      <protection locked="0"/>
    </xf>
    <xf numFmtId="0" fontId="14" fillId="18" borderId="1" xfId="0" applyFont="1" applyFill="1" applyBorder="1" applyAlignment="1" applyProtection="1">
      <alignment horizontal="center" vertical="center" wrapText="1"/>
      <protection locked="0"/>
    </xf>
    <xf numFmtId="0" fontId="13" fillId="1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20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20" fontId="38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left" vertical="center" wrapText="1"/>
    </xf>
    <xf numFmtId="20" fontId="40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left" vertical="center" wrapText="1"/>
    </xf>
    <xf numFmtId="20" fontId="39" fillId="0" borderId="1" xfId="0" applyNumberFormat="1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14" fontId="2" fillId="12" borderId="1" xfId="0" applyNumberFormat="1" applyFont="1" applyFill="1" applyBorder="1" applyAlignment="1">
      <alignment horizontal="left" vertical="center" wrapText="1"/>
    </xf>
    <xf numFmtId="20" fontId="2" fillId="12" borderId="1" xfId="0" applyNumberFormat="1" applyFont="1" applyFill="1" applyBorder="1" applyAlignment="1">
      <alignment horizontal="left" vertical="center" wrapText="1"/>
    </xf>
    <xf numFmtId="164" fontId="13" fillId="0" borderId="0" xfId="0" applyNumberFormat="1" applyFont="1"/>
    <xf numFmtId="14" fontId="41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0" fontId="2" fillId="12" borderId="1" xfId="0" applyNumberFormat="1" applyFont="1" applyFill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64" fontId="44" fillId="18" borderId="1" xfId="0" applyNumberFormat="1" applyFont="1" applyFill="1" applyBorder="1" applyAlignment="1">
      <alignment horizontal="center" vertical="center"/>
    </xf>
    <xf numFmtId="20" fontId="14" fillId="18" borderId="1" xfId="0" applyNumberFormat="1" applyFont="1" applyFill="1" applyBorder="1" applyAlignment="1">
      <alignment horizontal="center" vertical="center" wrapText="1"/>
    </xf>
    <xf numFmtId="164" fontId="43" fillId="18" borderId="1" xfId="0" applyNumberFormat="1" applyFont="1" applyFill="1" applyBorder="1" applyAlignment="1">
      <alignment horizontal="center" vertical="center"/>
    </xf>
    <xf numFmtId="20" fontId="37" fillId="18" borderId="1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0" xfId="1" applyFont="1" applyAlignment="1">
      <alignment vertical="center"/>
    </xf>
    <xf numFmtId="20" fontId="45" fillId="0" borderId="0" xfId="0" applyNumberFormat="1" applyFont="1" applyAlignment="1">
      <alignment vertical="center"/>
    </xf>
    <xf numFmtId="0" fontId="2" fillId="0" borderId="68" xfId="0" applyFont="1" applyBorder="1" applyAlignment="1">
      <alignment horizontal="center" vertical="center" wrapText="1"/>
    </xf>
    <xf numFmtId="0" fontId="2" fillId="19" borderId="68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7" fillId="24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20" fontId="2" fillId="11" borderId="1" xfId="0" applyNumberFormat="1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vertical="center" wrapText="1"/>
    </xf>
    <xf numFmtId="0" fontId="48" fillId="11" borderId="0" xfId="0" applyFont="1" applyFill="1" applyAlignment="1">
      <alignment horizontal="center" vertical="center" wrapText="1"/>
    </xf>
    <xf numFmtId="21" fontId="48" fillId="11" borderId="1" xfId="0" applyNumberFormat="1" applyFont="1" applyFill="1" applyBorder="1" applyAlignment="1">
      <alignment horizontal="center" vertical="center" wrapText="1"/>
    </xf>
    <xf numFmtId="20" fontId="48" fillId="11" borderId="1" xfId="0" applyNumberFormat="1" applyFont="1" applyFill="1" applyBorder="1" applyAlignment="1">
      <alignment horizontal="center" vertical="center" wrapText="1"/>
    </xf>
    <xf numFmtId="0" fontId="46" fillId="19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7" fillId="4" borderId="2" xfId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14" fontId="6" fillId="0" borderId="27" xfId="1" applyNumberFormat="1" applyFont="1" applyBorder="1" applyAlignment="1">
      <alignment horizontal="center" vertical="center"/>
    </xf>
    <xf numFmtId="0" fontId="1" fillId="0" borderId="27" xfId="1" applyBorder="1"/>
    <xf numFmtId="0" fontId="13" fillId="0" borderId="0" xfId="0" applyFont="1" applyAlignment="1">
      <alignment horizontal="right"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13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3" fillId="0" borderId="62" xfId="0" applyFon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26" fillId="2" borderId="46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8" fillId="16" borderId="36" xfId="0" applyFont="1" applyFill="1" applyBorder="1" applyAlignment="1">
      <alignment horizontal="center" vertical="center"/>
    </xf>
    <xf numFmtId="0" fontId="29" fillId="16" borderId="36" xfId="0" applyFont="1" applyFill="1" applyBorder="1" applyAlignment="1">
      <alignment horizontal="center" vertical="center"/>
    </xf>
    <xf numFmtId="0" fontId="29" fillId="16" borderId="50" xfId="0" applyFont="1" applyFill="1" applyBorder="1" applyAlignment="1">
      <alignment horizontal="center" vertical="center"/>
    </xf>
    <xf numFmtId="0" fontId="30" fillId="15" borderId="47" xfId="0" applyFont="1" applyFill="1" applyBorder="1" applyAlignment="1">
      <alignment horizontal="center" vertical="center"/>
    </xf>
    <xf numFmtId="0" fontId="31" fillId="15" borderId="47" xfId="0" applyFont="1" applyFill="1" applyBorder="1" applyAlignment="1">
      <alignment horizontal="center" vertical="center"/>
    </xf>
    <xf numFmtId="0" fontId="31" fillId="15" borderId="51" xfId="0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left" vertical="center" indent="1"/>
    </xf>
    <xf numFmtId="0" fontId="33" fillId="2" borderId="42" xfId="0" applyFont="1" applyFill="1" applyBorder="1" applyAlignment="1">
      <alignment horizontal="left" vertical="center" indent="1"/>
    </xf>
    <xf numFmtId="0" fontId="26" fillId="2" borderId="46" xfId="0" applyFont="1" applyFill="1" applyBorder="1" applyAlignment="1">
      <alignment horizontal="center" vertical="center" shrinkToFit="1"/>
    </xf>
    <xf numFmtId="0" fontId="27" fillId="2" borderId="46" xfId="0" applyFont="1" applyFill="1" applyBorder="1" applyAlignment="1">
      <alignment horizontal="center" vertical="center" shrinkToFit="1"/>
    </xf>
    <xf numFmtId="0" fontId="27" fillId="2" borderId="49" xfId="0" applyFont="1" applyFill="1" applyBorder="1" applyAlignment="1">
      <alignment horizontal="center" vertical="center" shrinkToFit="1"/>
    </xf>
    <xf numFmtId="0" fontId="28" fillId="16" borderId="36" xfId="0" applyFont="1" applyFill="1" applyBorder="1" applyAlignment="1">
      <alignment horizontal="center" vertical="center" shrinkToFit="1"/>
    </xf>
    <xf numFmtId="0" fontId="29" fillId="16" borderId="36" xfId="0" applyFont="1" applyFill="1" applyBorder="1" applyAlignment="1">
      <alignment horizontal="center" vertical="center" shrinkToFit="1"/>
    </xf>
    <xf numFmtId="0" fontId="29" fillId="16" borderId="50" xfId="0" applyFont="1" applyFill="1" applyBorder="1" applyAlignment="1">
      <alignment horizontal="center" vertical="center" shrinkToFit="1"/>
    </xf>
    <xf numFmtId="0" fontId="30" fillId="15" borderId="47" xfId="0" applyFont="1" applyFill="1" applyBorder="1" applyAlignment="1">
      <alignment horizontal="center" vertical="center" shrinkToFit="1"/>
    </xf>
    <xf numFmtId="0" fontId="31" fillId="15" borderId="47" xfId="0" applyFont="1" applyFill="1" applyBorder="1" applyAlignment="1">
      <alignment horizontal="center" vertical="center" shrinkToFit="1"/>
    </xf>
    <xf numFmtId="0" fontId="31" fillId="15" borderId="51" xfId="0" applyFont="1" applyFill="1" applyBorder="1" applyAlignment="1">
      <alignment horizontal="center" vertical="center" shrinkToFit="1"/>
    </xf>
    <xf numFmtId="0" fontId="26" fillId="2" borderId="41" xfId="0" applyFont="1" applyFill="1" applyBorder="1" applyAlignment="1">
      <alignment horizontal="left" vertical="center" wrapText="1" indent="1"/>
    </xf>
    <xf numFmtId="0" fontId="27" fillId="2" borderId="42" xfId="0" applyFont="1" applyFill="1" applyBorder="1" applyAlignment="1">
      <alignment horizontal="left" vertical="center" wrapText="1" indent="1"/>
    </xf>
    <xf numFmtId="0" fontId="26" fillId="2" borderId="63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left" vertical="center" indent="1" shrinkToFit="1"/>
    </xf>
    <xf numFmtId="0" fontId="33" fillId="2" borderId="59" xfId="0" applyFont="1" applyFill="1" applyBorder="1" applyAlignment="1">
      <alignment horizontal="left" vertical="center" indent="1" shrinkToFit="1"/>
    </xf>
    <xf numFmtId="0" fontId="13" fillId="0" borderId="0" xfId="0" applyFont="1"/>
    <xf numFmtId="0" fontId="0" fillId="0" borderId="0" xfId="0"/>
    <xf numFmtId="0" fontId="0" fillId="0" borderId="64" xfId="0" applyBorder="1"/>
    <xf numFmtId="0" fontId="13" fillId="0" borderId="62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6" fillId="2" borderId="63" xfId="0" applyFont="1" applyFill="1" applyBorder="1" applyAlignment="1">
      <alignment horizontal="center" vertical="center"/>
    </xf>
    <xf numFmtId="0" fontId="27" fillId="2" borderId="57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right" vertical="center"/>
    </xf>
    <xf numFmtId="0" fontId="12" fillId="13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2" fillId="15" borderId="49" xfId="0" applyFont="1" applyFill="1" applyBorder="1" applyAlignment="1">
      <alignment horizontal="center" vertical="center" wrapText="1"/>
    </xf>
    <xf numFmtId="0" fontId="0" fillId="15" borderId="52" xfId="0" applyFill="1" applyBorder="1" applyAlignment="1">
      <alignment horizontal="center" vertical="center" wrapText="1"/>
    </xf>
    <xf numFmtId="0" fontId="0" fillId="15" borderId="65" xfId="0" applyFill="1" applyBorder="1" applyAlignment="1">
      <alignment horizontal="center" vertical="center" wrapText="1"/>
    </xf>
    <xf numFmtId="0" fontId="0" fillId="15" borderId="66" xfId="0" applyFill="1" applyBorder="1" applyAlignment="1">
      <alignment horizontal="center" vertical="center" wrapText="1"/>
    </xf>
    <xf numFmtId="0" fontId="0" fillId="15" borderId="51" xfId="0" applyFill="1" applyBorder="1" applyAlignment="1">
      <alignment horizontal="center" vertical="center" wrapText="1"/>
    </xf>
    <xf numFmtId="0" fontId="0" fillId="15" borderId="53" xfId="0" applyFill="1" applyBorder="1" applyAlignment="1">
      <alignment horizontal="center" vertical="center" wrapText="1"/>
    </xf>
    <xf numFmtId="0" fontId="13" fillId="0" borderId="56" xfId="0" applyFont="1" applyBorder="1"/>
    <xf numFmtId="0" fontId="34" fillId="12" borderId="0" xfId="0" applyFont="1" applyFill="1" applyAlignment="1">
      <alignment horizontal="left" vertical="center" indent="1"/>
    </xf>
    <xf numFmtId="0" fontId="35" fillId="12" borderId="0" xfId="0" applyFont="1" applyFill="1" applyAlignment="1">
      <alignment horizontal="left" vertical="center" indent="1"/>
    </xf>
    <xf numFmtId="0" fontId="13" fillId="0" borderId="64" xfId="0" applyFont="1" applyBorder="1"/>
    <xf numFmtId="0" fontId="13" fillId="0" borderId="27" xfId="0" applyFont="1" applyBorder="1"/>
    <xf numFmtId="0" fontId="0" fillId="0" borderId="27" xfId="0" applyBorder="1"/>
    <xf numFmtId="0" fontId="0" fillId="0" borderId="65" xfId="0" applyBorder="1"/>
    <xf numFmtId="0" fontId="0" fillId="0" borderId="66" xfId="0" applyBorder="1"/>
    <xf numFmtId="0" fontId="0" fillId="0" borderId="51" xfId="0" applyBorder="1"/>
    <xf numFmtId="0" fontId="0" fillId="0" borderId="53" xfId="0" applyBorder="1"/>
    <xf numFmtId="14" fontId="2" fillId="0" borderId="0" xfId="0" applyNumberFormat="1" applyFont="1" applyBorder="1" applyAlignment="1">
      <alignment horizontal="center" vertical="center" wrapText="1"/>
    </xf>
    <xf numFmtId="20" fontId="2" fillId="0" borderId="0" xfId="0" applyNumberFormat="1" applyFont="1" applyBorder="1" applyAlignment="1">
      <alignment horizontal="center" vertical="center" wrapText="1"/>
    </xf>
    <xf numFmtId="0" fontId="13" fillId="26" borderId="1" xfId="0" applyFont="1" applyFill="1" applyBorder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/>
    </xf>
  </cellXfs>
  <cellStyles count="2">
    <cellStyle name="Normalno" xfId="0" builtinId="0"/>
    <cellStyle name="Normalno 2" xfId="1" xr:uid="{1AA4C2FA-0F5D-44A4-BDE9-302FE6F9D175}"/>
  </cellStyles>
  <dxfs count="0"/>
  <tableStyles count="0" defaultTableStyle="TableStyleMedium2" defaultPivotStyle="PivotStyleLight16"/>
  <colors>
    <mruColors>
      <color rgb="FFF4BEDA"/>
      <color rgb="FFFCF6FC"/>
      <color rgb="FFD3B08D"/>
      <color rgb="FFFAECF9"/>
      <color rgb="FFFFFFCC"/>
      <color rgb="FFECF9E7"/>
      <color rgb="FFF6F6F6"/>
      <color rgb="FFFEFCFE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35303</xdr:colOff>
      <xdr:row>47</xdr:row>
      <xdr:rowOff>38171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A53BECC-6EE4-E1A5-5C6C-C1A1A5C6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74530"/>
          <a:ext cx="11686283" cy="819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1944461</xdr:colOff>
      <xdr:row>32</xdr:row>
      <xdr:rowOff>355147</xdr:rowOff>
    </xdr:from>
    <xdr:to>
      <xdr:col>15</xdr:col>
      <xdr:colOff>352425</xdr:colOff>
      <xdr:row>33</xdr:row>
      <xdr:rowOff>190993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546C45-6EB8-44FB-8035-84B966D5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461" y="15404647"/>
          <a:ext cx="13295539" cy="1645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1877786</xdr:colOff>
      <xdr:row>71</xdr:row>
      <xdr:rowOff>40822</xdr:rowOff>
    </xdr:from>
    <xdr:to>
      <xdr:col>14</xdr:col>
      <xdr:colOff>285750</xdr:colOff>
      <xdr:row>71</xdr:row>
      <xdr:rowOff>1686418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7737EBC-57F4-4057-820E-1078BBCE4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34226047"/>
          <a:ext cx="12876439" cy="1645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1877786</xdr:colOff>
      <xdr:row>68</xdr:row>
      <xdr:rowOff>40822</xdr:rowOff>
    </xdr:from>
    <xdr:to>
      <xdr:col>14</xdr:col>
      <xdr:colOff>285750</xdr:colOff>
      <xdr:row>68</xdr:row>
      <xdr:rowOff>1686418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1A5C5AE-8FD6-4B85-BD88-8A39DA31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51742522"/>
          <a:ext cx="12876439" cy="17090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1877786</xdr:colOff>
      <xdr:row>89</xdr:row>
      <xdr:rowOff>40822</xdr:rowOff>
    </xdr:from>
    <xdr:to>
      <xdr:col>13</xdr:col>
      <xdr:colOff>285750</xdr:colOff>
      <xdr:row>101</xdr:row>
      <xdr:rowOff>76239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6DB8F7C-DBE2-6844-0154-FC7376C0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41828358"/>
          <a:ext cx="12913178" cy="17090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8422-FF2E-4CD5-A049-28C40BB9233F}">
  <dimension ref="A1:AP59"/>
  <sheetViews>
    <sheetView topLeftCell="A14" workbookViewId="0">
      <selection activeCell="Q23" sqref="Q23"/>
    </sheetView>
  </sheetViews>
  <sheetFormatPr defaultColWidth="9.109375" defaultRowHeight="13.2" x14ac:dyDescent="0.25"/>
  <cols>
    <col min="1" max="1" width="9.109375" style="5"/>
    <col min="2" max="2" width="110.44140625" style="5" customWidth="1"/>
    <col min="3" max="4" width="19.88671875" style="5" customWidth="1"/>
    <col min="5" max="5" width="1.6640625" style="5" customWidth="1"/>
    <col min="6" max="41" width="2.6640625" style="6" customWidth="1"/>
    <col min="42" max="42" width="2.6640625" style="5" customWidth="1"/>
    <col min="43" max="16384" width="9.109375" style="5"/>
  </cols>
  <sheetData>
    <row r="1" spans="1:42" s="3" customFormat="1" ht="44.25" customHeight="1" x14ac:dyDescent="0.3">
      <c r="A1" s="284" t="s">
        <v>0</v>
      </c>
      <c r="B1" s="285"/>
      <c r="H1" s="284"/>
      <c r="I1" s="285"/>
    </row>
    <row r="2" spans="1:42" s="3" customFormat="1" ht="12.75" customHeight="1" x14ac:dyDescent="0.3">
      <c r="A2" s="1"/>
      <c r="B2" s="2"/>
      <c r="H2" s="1"/>
      <c r="I2" s="2"/>
    </row>
    <row r="3" spans="1:42" ht="23.25" customHeight="1" x14ac:dyDescent="0.25">
      <c r="A3" s="4" t="s">
        <v>1</v>
      </c>
    </row>
    <row r="4" spans="1:42" ht="12.75" customHeight="1" x14ac:dyDescent="0.25">
      <c r="F4" s="7"/>
      <c r="AO4" s="8"/>
    </row>
    <row r="5" spans="1:42" ht="41.4" x14ac:dyDescent="0.25">
      <c r="A5" s="9" t="s">
        <v>2</v>
      </c>
      <c r="B5" s="9" t="s">
        <v>3</v>
      </c>
      <c r="C5" s="9" t="s">
        <v>4</v>
      </c>
      <c r="D5" s="9" t="s">
        <v>5</v>
      </c>
      <c r="E5" s="1"/>
      <c r="F5" s="10">
        <v>0</v>
      </c>
      <c r="G5" s="11">
        <v>1</v>
      </c>
      <c r="H5" s="11">
        <v>2</v>
      </c>
      <c r="I5" s="11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2">
        <v>9</v>
      </c>
      <c r="P5" s="13">
        <v>10</v>
      </c>
      <c r="Q5" s="11">
        <v>11</v>
      </c>
      <c r="R5" s="11">
        <v>12</v>
      </c>
      <c r="S5" s="11">
        <v>13</v>
      </c>
      <c r="T5" s="11">
        <v>14</v>
      </c>
      <c r="U5" s="11">
        <v>15</v>
      </c>
      <c r="V5" s="11">
        <v>16</v>
      </c>
      <c r="W5" s="11">
        <v>17</v>
      </c>
      <c r="X5" s="11">
        <v>18</v>
      </c>
      <c r="Y5" s="11">
        <v>19</v>
      </c>
      <c r="Z5" s="11">
        <v>20</v>
      </c>
      <c r="AA5" s="12">
        <v>21</v>
      </c>
      <c r="AB5" s="13">
        <v>22</v>
      </c>
      <c r="AC5" s="11">
        <v>23</v>
      </c>
      <c r="AD5" s="11">
        <v>24</v>
      </c>
      <c r="AE5" s="11">
        <v>25</v>
      </c>
      <c r="AF5" s="11">
        <v>26</v>
      </c>
      <c r="AG5" s="11">
        <v>27</v>
      </c>
      <c r="AH5" s="11">
        <v>28</v>
      </c>
      <c r="AI5" s="11">
        <v>29</v>
      </c>
      <c r="AJ5" s="11">
        <v>30</v>
      </c>
      <c r="AK5" s="11">
        <v>31</v>
      </c>
      <c r="AL5" s="11">
        <v>32</v>
      </c>
      <c r="AM5" s="12">
        <v>33</v>
      </c>
      <c r="AN5" s="13">
        <v>34</v>
      </c>
      <c r="AO5" s="11">
        <v>35</v>
      </c>
      <c r="AP5" s="14">
        <v>36</v>
      </c>
    </row>
    <row r="6" spans="1:42" ht="25.5" customHeight="1" x14ac:dyDescent="0.25">
      <c r="A6" s="15" t="s">
        <v>6</v>
      </c>
      <c r="B6" s="16" t="s">
        <v>7</v>
      </c>
      <c r="C6" s="15">
        <v>1</v>
      </c>
      <c r="D6" s="15">
        <v>30</v>
      </c>
      <c r="E6" s="1"/>
      <c r="F6" s="17"/>
      <c r="G6" s="18"/>
      <c r="H6" s="18"/>
      <c r="I6" s="18"/>
      <c r="J6" s="19"/>
      <c r="K6" s="19"/>
      <c r="L6" s="19"/>
      <c r="M6" s="19"/>
      <c r="N6" s="19"/>
      <c r="O6" s="20"/>
      <c r="P6" s="21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21"/>
      <c r="AC6" s="19"/>
      <c r="AD6" s="19"/>
      <c r="AE6" s="19"/>
      <c r="AF6" s="19"/>
      <c r="AG6" s="19"/>
      <c r="AH6" s="19"/>
      <c r="AI6" s="19"/>
      <c r="AJ6" s="19"/>
      <c r="AK6" s="22"/>
      <c r="AL6" s="22"/>
      <c r="AM6" s="23"/>
      <c r="AN6" s="24"/>
      <c r="AO6" s="25"/>
      <c r="AP6" s="26"/>
    </row>
    <row r="7" spans="1:42" ht="25.5" customHeight="1" x14ac:dyDescent="0.25">
      <c r="A7" s="15" t="s">
        <v>8</v>
      </c>
      <c r="B7" s="27" t="s">
        <v>9</v>
      </c>
      <c r="C7" s="15">
        <v>1</v>
      </c>
      <c r="D7" s="15">
        <v>30</v>
      </c>
      <c r="E7" s="1"/>
      <c r="F7" s="28"/>
      <c r="G7" s="29"/>
      <c r="H7" s="29"/>
      <c r="I7" s="29"/>
      <c r="J7" s="30"/>
      <c r="K7" s="30"/>
      <c r="L7" s="30"/>
      <c r="M7" s="30"/>
      <c r="N7" s="30"/>
      <c r="O7" s="31"/>
      <c r="P7" s="32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2"/>
      <c r="AC7" s="30"/>
      <c r="AD7" s="30"/>
      <c r="AE7" s="30"/>
      <c r="AF7" s="30"/>
      <c r="AG7" s="30"/>
      <c r="AH7" s="30"/>
      <c r="AI7" s="30"/>
      <c r="AJ7" s="30"/>
      <c r="AK7" s="33"/>
      <c r="AL7" s="33"/>
      <c r="AM7" s="34"/>
      <c r="AN7" s="35"/>
      <c r="AO7" s="36"/>
      <c r="AP7" s="37"/>
    </row>
    <row r="8" spans="1:42" ht="25.5" customHeight="1" x14ac:dyDescent="0.25">
      <c r="A8" s="15" t="s">
        <v>10</v>
      </c>
      <c r="B8" s="27" t="s">
        <v>11</v>
      </c>
      <c r="C8" s="15">
        <v>1</v>
      </c>
      <c r="D8" s="15">
        <v>30</v>
      </c>
      <c r="E8" s="1"/>
      <c r="F8" s="28"/>
      <c r="G8" s="29"/>
      <c r="H8" s="29"/>
      <c r="I8" s="29"/>
      <c r="J8" s="30"/>
      <c r="K8" s="30"/>
      <c r="L8" s="30"/>
      <c r="M8" s="30"/>
      <c r="N8" s="30"/>
      <c r="O8" s="31"/>
      <c r="P8" s="32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32"/>
      <c r="AC8" s="30"/>
      <c r="AD8" s="30"/>
      <c r="AE8" s="30"/>
      <c r="AF8" s="30"/>
      <c r="AG8" s="30"/>
      <c r="AH8" s="30"/>
      <c r="AI8" s="30"/>
      <c r="AJ8" s="30"/>
      <c r="AK8" s="33"/>
      <c r="AL8" s="33"/>
      <c r="AM8" s="34"/>
      <c r="AN8" s="35"/>
      <c r="AO8" s="36"/>
      <c r="AP8" s="37"/>
    </row>
    <row r="9" spans="1:42" ht="25.5" customHeight="1" x14ac:dyDescent="0.25">
      <c r="A9" s="15" t="s">
        <v>12</v>
      </c>
      <c r="B9" s="27" t="s">
        <v>13</v>
      </c>
      <c r="C9" s="15">
        <v>1</v>
      </c>
      <c r="D9" s="15">
        <v>36</v>
      </c>
      <c r="E9" s="1"/>
      <c r="F9" s="28"/>
      <c r="G9" s="29"/>
      <c r="H9" s="29"/>
      <c r="I9" s="29"/>
      <c r="J9" s="30"/>
      <c r="K9" s="30"/>
      <c r="L9" s="30"/>
      <c r="M9" s="30"/>
      <c r="N9" s="30"/>
      <c r="O9" s="31"/>
      <c r="P9" s="32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  <c r="AB9" s="32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1"/>
      <c r="AN9" s="38"/>
      <c r="AO9" s="39"/>
      <c r="AP9" s="40"/>
    </row>
    <row r="10" spans="1:42" ht="25.5" customHeight="1" x14ac:dyDescent="0.25">
      <c r="A10" s="15" t="s">
        <v>14</v>
      </c>
      <c r="B10" s="27" t="s">
        <v>15</v>
      </c>
      <c r="C10" s="15">
        <v>1</v>
      </c>
      <c r="D10" s="15">
        <v>36</v>
      </c>
      <c r="E10" s="1"/>
      <c r="F10" s="28"/>
      <c r="G10" s="29"/>
      <c r="H10" s="29"/>
      <c r="I10" s="29"/>
      <c r="J10" s="30"/>
      <c r="K10" s="30"/>
      <c r="L10" s="30"/>
      <c r="M10" s="30"/>
      <c r="N10" s="30"/>
      <c r="O10" s="31"/>
      <c r="P10" s="32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32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1"/>
      <c r="AN10" s="38"/>
      <c r="AO10" s="39"/>
      <c r="AP10" s="40"/>
    </row>
    <row r="11" spans="1:42" ht="25.5" customHeight="1" x14ac:dyDescent="0.25">
      <c r="A11" s="15" t="s">
        <v>16</v>
      </c>
      <c r="B11" s="27" t="s">
        <v>17</v>
      </c>
      <c r="C11" s="15">
        <v>1</v>
      </c>
      <c r="D11" s="15">
        <v>36</v>
      </c>
      <c r="E11" s="1"/>
      <c r="F11" s="28"/>
      <c r="G11" s="29"/>
      <c r="H11" s="29"/>
      <c r="I11" s="29"/>
      <c r="J11" s="30"/>
      <c r="K11" s="30"/>
      <c r="L11" s="30"/>
      <c r="M11" s="30"/>
      <c r="N11" s="30"/>
      <c r="O11" s="31"/>
      <c r="P11" s="32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1"/>
      <c r="AN11" s="38"/>
      <c r="AO11" s="39"/>
      <c r="AP11" s="40"/>
    </row>
    <row r="12" spans="1:42" ht="25.5" customHeight="1" x14ac:dyDescent="0.25">
      <c r="A12" s="15" t="s">
        <v>18</v>
      </c>
      <c r="B12" s="27" t="s">
        <v>19</v>
      </c>
      <c r="C12" s="15">
        <v>1</v>
      </c>
      <c r="D12" s="15">
        <v>36</v>
      </c>
      <c r="E12" s="1"/>
      <c r="F12" s="28"/>
      <c r="G12" s="29"/>
      <c r="H12" s="29"/>
      <c r="I12" s="29"/>
      <c r="J12" s="30"/>
      <c r="K12" s="30"/>
      <c r="L12" s="30"/>
      <c r="M12" s="30"/>
      <c r="N12" s="30"/>
      <c r="O12" s="31"/>
      <c r="P12" s="32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1"/>
      <c r="AN12" s="38"/>
      <c r="AO12" s="39"/>
      <c r="AP12" s="40"/>
    </row>
    <row r="13" spans="1:42" ht="25.5" customHeight="1" x14ac:dyDescent="0.25">
      <c r="A13" s="15" t="s">
        <v>20</v>
      </c>
      <c r="B13" s="27" t="s">
        <v>21</v>
      </c>
      <c r="C13" s="15">
        <v>1</v>
      </c>
      <c r="D13" s="41">
        <v>36</v>
      </c>
      <c r="E13" s="1"/>
      <c r="F13" s="42"/>
      <c r="G13" s="43"/>
      <c r="H13" s="43"/>
      <c r="I13" s="43"/>
      <c r="J13" s="44"/>
      <c r="K13" s="44"/>
      <c r="L13" s="44"/>
      <c r="M13" s="44"/>
      <c r="N13" s="44"/>
      <c r="O13" s="45"/>
      <c r="P13" s="46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6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5"/>
      <c r="AN13" s="47"/>
      <c r="AO13" s="48"/>
      <c r="AP13" s="49"/>
    </row>
    <row r="14" spans="1:42" ht="13.8" x14ac:dyDescent="0.25">
      <c r="A14" s="1"/>
      <c r="B14" s="1"/>
      <c r="C14" s="1"/>
      <c r="D14" s="286" t="s">
        <v>22</v>
      </c>
      <c r="E14" s="287"/>
      <c r="F14" s="288">
        <v>2025</v>
      </c>
      <c r="G14" s="289"/>
      <c r="H14" s="289"/>
      <c r="I14" s="289"/>
      <c r="J14" s="289"/>
      <c r="K14" s="289"/>
      <c r="L14" s="289"/>
      <c r="M14" s="289"/>
      <c r="N14" s="289"/>
      <c r="O14" s="289"/>
      <c r="P14" s="289">
        <v>2026</v>
      </c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>
        <v>2027</v>
      </c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90">
        <v>2028</v>
      </c>
      <c r="AO14" s="291"/>
      <c r="AP14" s="292"/>
    </row>
    <row r="15" spans="1:42" ht="13.8" x14ac:dyDescent="0.25">
      <c r="A15" s="1"/>
      <c r="B15" s="1"/>
      <c r="C15" s="1"/>
      <c r="D15" s="286" t="s">
        <v>23</v>
      </c>
      <c r="E15" s="287"/>
      <c r="F15" s="52">
        <v>3</v>
      </c>
      <c r="G15" s="52">
        <v>4</v>
      </c>
      <c r="H15" s="52">
        <v>5</v>
      </c>
      <c r="I15" s="52">
        <v>6</v>
      </c>
      <c r="J15" s="53">
        <v>7</v>
      </c>
      <c r="K15" s="53">
        <v>8</v>
      </c>
      <c r="L15" s="53">
        <v>9</v>
      </c>
      <c r="M15" s="53">
        <v>10</v>
      </c>
      <c r="N15" s="53">
        <v>11</v>
      </c>
      <c r="O15" s="53">
        <v>12</v>
      </c>
      <c r="P15" s="53">
        <v>1</v>
      </c>
      <c r="Q15" s="53">
        <v>2</v>
      </c>
      <c r="R15" s="53">
        <v>3</v>
      </c>
      <c r="S15" s="53">
        <v>4</v>
      </c>
      <c r="T15" s="53">
        <v>5</v>
      </c>
      <c r="U15" s="53">
        <v>6</v>
      </c>
      <c r="V15" s="53">
        <v>7</v>
      </c>
      <c r="W15" s="53">
        <v>8</v>
      </c>
      <c r="X15" s="53">
        <v>9</v>
      </c>
      <c r="Y15" s="53">
        <v>10</v>
      </c>
      <c r="Z15" s="53">
        <v>11</v>
      </c>
      <c r="AA15" s="53">
        <v>12</v>
      </c>
      <c r="AB15" s="53">
        <v>1</v>
      </c>
      <c r="AC15" s="53">
        <v>2</v>
      </c>
      <c r="AD15" s="53">
        <v>3</v>
      </c>
      <c r="AE15" s="53">
        <v>4</v>
      </c>
      <c r="AF15" s="53">
        <v>5</v>
      </c>
      <c r="AG15" s="53">
        <v>4</v>
      </c>
      <c r="AH15" s="53">
        <v>7</v>
      </c>
      <c r="AI15" s="53">
        <v>8</v>
      </c>
      <c r="AJ15" s="53">
        <v>9</v>
      </c>
      <c r="AK15" s="53">
        <v>10</v>
      </c>
      <c r="AL15" s="53">
        <v>11</v>
      </c>
      <c r="AM15" s="53">
        <v>12</v>
      </c>
      <c r="AN15" s="53">
        <v>1</v>
      </c>
      <c r="AO15" s="53">
        <v>2</v>
      </c>
      <c r="AP15" s="54">
        <v>3</v>
      </c>
    </row>
    <row r="16" spans="1:42" ht="13.8" x14ac:dyDescent="0.25">
      <c r="A16" s="1"/>
      <c r="B16" s="1"/>
      <c r="C16" s="1"/>
      <c r="D16" s="50" t="s">
        <v>24</v>
      </c>
      <c r="E16" s="51"/>
      <c r="F16" s="293">
        <v>12</v>
      </c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5"/>
    </row>
    <row r="17" spans="1:42" ht="13.8" x14ac:dyDescent="0.25">
      <c r="A17" s="1"/>
      <c r="B17" s="1"/>
      <c r="C17" s="1"/>
      <c r="D17" s="1"/>
      <c r="E17" s="1"/>
      <c r="F17" s="296" t="s">
        <v>25</v>
      </c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7" t="s">
        <v>26</v>
      </c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8"/>
    </row>
    <row r="18" spans="1:42" ht="19.5" customHeight="1" x14ac:dyDescent="0.3">
      <c r="A18" s="55" t="s">
        <v>27</v>
      </c>
      <c r="B18" s="56"/>
      <c r="C18" s="56"/>
      <c r="D18" s="57"/>
    </row>
    <row r="19" spans="1:42" ht="21.9" customHeight="1" x14ac:dyDescent="0.25">
      <c r="A19" s="58" t="s">
        <v>28</v>
      </c>
      <c r="B19" s="59" t="s">
        <v>29</v>
      </c>
      <c r="C19" s="60"/>
      <c r="D19" s="61"/>
    </row>
    <row r="20" spans="1:42" ht="13.8" x14ac:dyDescent="0.25">
      <c r="A20" s="62" t="s">
        <v>30</v>
      </c>
      <c r="B20" s="63" t="s">
        <v>31</v>
      </c>
      <c r="C20" s="64"/>
      <c r="D20" s="26"/>
    </row>
    <row r="21" spans="1:42" ht="13.8" x14ac:dyDescent="0.25">
      <c r="A21" s="65" t="s">
        <v>32</v>
      </c>
      <c r="B21" s="66" t="s">
        <v>33</v>
      </c>
      <c r="C21" s="67"/>
      <c r="D21" s="68"/>
    </row>
    <row r="22" spans="1:42" ht="21.9" customHeight="1" x14ac:dyDescent="0.25">
      <c r="A22" s="58" t="s">
        <v>34</v>
      </c>
      <c r="B22" s="59" t="s">
        <v>35</v>
      </c>
      <c r="C22" s="60"/>
      <c r="D22" s="61"/>
    </row>
    <row r="23" spans="1:42" ht="36" customHeight="1" x14ac:dyDescent="0.25">
      <c r="A23" s="69" t="s">
        <v>36</v>
      </c>
      <c r="B23" s="70" t="s">
        <v>37</v>
      </c>
      <c r="C23" s="71" t="s">
        <v>38</v>
      </c>
      <c r="D23" s="72" t="s">
        <v>39</v>
      </c>
    </row>
    <row r="24" spans="1:42" ht="13.8" x14ac:dyDescent="0.3">
      <c r="A24" s="73" t="s">
        <v>40</v>
      </c>
      <c r="B24" s="74">
        <v>45728</v>
      </c>
      <c r="C24" s="75">
        <v>45819</v>
      </c>
      <c r="D24" s="76">
        <f>C24+15</f>
        <v>45834</v>
      </c>
      <c r="F24" s="77" t="str">
        <f>TEXT(WEEKDAY(D24),"dddd")</f>
        <v>četvrtak</v>
      </c>
    </row>
    <row r="25" spans="1:42" ht="13.8" x14ac:dyDescent="0.3">
      <c r="A25" s="78" t="s">
        <v>41</v>
      </c>
      <c r="B25" s="79">
        <v>45820</v>
      </c>
      <c r="C25" s="80">
        <v>45911</v>
      </c>
      <c r="D25" s="81">
        <f>C25+15</f>
        <v>45926</v>
      </c>
      <c r="F25" s="77" t="str">
        <f t="shared" ref="F25:F35" si="0">TEXT(WEEKDAY(D25),"dddd")</f>
        <v>petak</v>
      </c>
    </row>
    <row r="26" spans="1:42" ht="13.8" x14ac:dyDescent="0.3">
      <c r="A26" s="78" t="s">
        <v>42</v>
      </c>
      <c r="B26" s="79">
        <v>45912</v>
      </c>
      <c r="C26" s="80">
        <v>46002</v>
      </c>
      <c r="D26" s="81">
        <f t="shared" ref="D26:D34" si="1">C26+15</f>
        <v>46017</v>
      </c>
      <c r="F26" s="77" t="str">
        <f t="shared" si="0"/>
        <v>petak</v>
      </c>
    </row>
    <row r="27" spans="1:42" ht="13.8" x14ac:dyDescent="0.3">
      <c r="A27" s="78" t="s">
        <v>43</v>
      </c>
      <c r="B27" s="79">
        <v>46003</v>
      </c>
      <c r="C27" s="80">
        <v>46092</v>
      </c>
      <c r="D27" s="81">
        <f t="shared" si="1"/>
        <v>46107</v>
      </c>
      <c r="F27" s="77" t="str">
        <f t="shared" si="0"/>
        <v>četvrtak</v>
      </c>
    </row>
    <row r="28" spans="1:42" ht="13.8" x14ac:dyDescent="0.3">
      <c r="A28" s="78" t="s">
        <v>44</v>
      </c>
      <c r="B28" s="79">
        <v>46093</v>
      </c>
      <c r="C28" s="80">
        <v>46184</v>
      </c>
      <c r="D28" s="81">
        <f t="shared" si="1"/>
        <v>46199</v>
      </c>
      <c r="F28" s="77" t="str">
        <f t="shared" si="0"/>
        <v>petak</v>
      </c>
    </row>
    <row r="29" spans="1:42" ht="13.8" x14ac:dyDescent="0.3">
      <c r="A29" s="78" t="s">
        <v>45</v>
      </c>
      <c r="B29" s="79">
        <v>46185</v>
      </c>
      <c r="C29" s="80">
        <v>46276</v>
      </c>
      <c r="D29" s="81">
        <f t="shared" si="1"/>
        <v>46291</v>
      </c>
      <c r="F29" s="82" t="str">
        <f t="shared" si="0"/>
        <v>subota</v>
      </c>
    </row>
    <row r="30" spans="1:42" ht="13.8" x14ac:dyDescent="0.3">
      <c r="A30" s="78" t="s">
        <v>46</v>
      </c>
      <c r="B30" s="79">
        <v>46277</v>
      </c>
      <c r="C30" s="80">
        <v>46367</v>
      </c>
      <c r="D30" s="81">
        <f t="shared" si="1"/>
        <v>46382</v>
      </c>
      <c r="F30" s="82" t="str">
        <f t="shared" si="0"/>
        <v>subota</v>
      </c>
    </row>
    <row r="31" spans="1:42" ht="13.8" x14ac:dyDescent="0.3">
      <c r="A31" s="78" t="s">
        <v>47</v>
      </c>
      <c r="B31" s="79">
        <v>46368</v>
      </c>
      <c r="C31" s="80">
        <v>46457</v>
      </c>
      <c r="D31" s="81">
        <f t="shared" si="1"/>
        <v>46472</v>
      </c>
      <c r="F31" s="77" t="str">
        <f t="shared" si="0"/>
        <v>petak</v>
      </c>
    </row>
    <row r="32" spans="1:42" ht="13.8" x14ac:dyDescent="0.3">
      <c r="A32" s="78" t="s">
        <v>48</v>
      </c>
      <c r="B32" s="79">
        <v>46458</v>
      </c>
      <c r="C32" s="80">
        <v>46549</v>
      </c>
      <c r="D32" s="81">
        <f t="shared" si="1"/>
        <v>46564</v>
      </c>
      <c r="F32" s="82" t="str">
        <f t="shared" si="0"/>
        <v>subota</v>
      </c>
    </row>
    <row r="33" spans="1:6" ht="13.8" x14ac:dyDescent="0.3">
      <c r="A33" s="78" t="s">
        <v>49</v>
      </c>
      <c r="B33" s="79">
        <v>46550</v>
      </c>
      <c r="C33" s="80">
        <v>46641</v>
      </c>
      <c r="D33" s="81">
        <f t="shared" si="1"/>
        <v>46656</v>
      </c>
      <c r="F33" s="82" t="str">
        <f t="shared" si="0"/>
        <v>nedjelja</v>
      </c>
    </row>
    <row r="34" spans="1:6" ht="13.8" x14ac:dyDescent="0.3">
      <c r="A34" s="78" t="s">
        <v>50</v>
      </c>
      <c r="B34" s="79">
        <v>46642</v>
      </c>
      <c r="C34" s="80">
        <v>46732</v>
      </c>
      <c r="D34" s="81">
        <f t="shared" si="1"/>
        <v>46747</v>
      </c>
      <c r="F34" s="82" t="str">
        <f t="shared" si="0"/>
        <v>nedjelja</v>
      </c>
    </row>
    <row r="35" spans="1:6" ht="13.8" x14ac:dyDescent="0.3">
      <c r="A35" s="83" t="s">
        <v>51</v>
      </c>
      <c r="B35" s="84">
        <v>46733</v>
      </c>
      <c r="C35" s="85">
        <v>46823</v>
      </c>
      <c r="D35" s="86">
        <f>C35+30</f>
        <v>46853</v>
      </c>
      <c r="F35" s="77" t="str">
        <f t="shared" si="0"/>
        <v>ponedjeljak</v>
      </c>
    </row>
    <row r="36" spans="1:6" ht="13.8" x14ac:dyDescent="0.3">
      <c r="B36" s="87" t="s">
        <v>52</v>
      </c>
      <c r="C36" s="88">
        <v>3</v>
      </c>
      <c r="D36" s="89"/>
    </row>
    <row r="37" spans="1:6" ht="13.8" x14ac:dyDescent="0.3">
      <c r="B37" s="87" t="s">
        <v>53</v>
      </c>
      <c r="C37" s="90">
        <f>12*3</f>
        <v>36</v>
      </c>
      <c r="D37" s="91"/>
    </row>
    <row r="38" spans="1:6" x14ac:dyDescent="0.25">
      <c r="B38" s="92"/>
      <c r="C38" s="92"/>
    </row>
    <row r="39" spans="1:6" x14ac:dyDescent="0.25">
      <c r="B39" s="92"/>
      <c r="C39" s="92"/>
      <c r="D39" s="92"/>
    </row>
    <row r="40" spans="1:6" x14ac:dyDescent="0.25">
      <c r="B40" s="92"/>
      <c r="C40" s="92"/>
      <c r="D40" s="92"/>
    </row>
    <row r="41" spans="1:6" x14ac:dyDescent="0.25">
      <c r="B41" s="92"/>
      <c r="C41" s="92"/>
      <c r="D41" s="92"/>
    </row>
    <row r="42" spans="1:6" x14ac:dyDescent="0.25">
      <c r="B42" s="92"/>
      <c r="C42" s="92"/>
      <c r="D42" s="92"/>
    </row>
    <row r="43" spans="1:6" x14ac:dyDescent="0.25">
      <c r="C43" s="92"/>
      <c r="D43" s="92"/>
    </row>
    <row r="44" spans="1:6" x14ac:dyDescent="0.25">
      <c r="C44" s="92"/>
      <c r="D44" s="92"/>
    </row>
    <row r="45" spans="1:6" x14ac:dyDescent="0.25">
      <c r="C45" s="92"/>
      <c r="D45" s="92"/>
    </row>
    <row r="46" spans="1:6" x14ac:dyDescent="0.25">
      <c r="C46" s="92"/>
      <c r="D46" s="92"/>
    </row>
    <row r="47" spans="1:6" x14ac:dyDescent="0.25">
      <c r="C47" s="92"/>
      <c r="D47" s="92"/>
    </row>
    <row r="48" spans="1:6" x14ac:dyDescent="0.25">
      <c r="C48" s="92"/>
      <c r="D48" s="92"/>
    </row>
    <row r="49" spans="1:4" x14ac:dyDescent="0.25">
      <c r="C49" s="92"/>
      <c r="D49" s="92"/>
    </row>
    <row r="50" spans="1:4" x14ac:dyDescent="0.25">
      <c r="C50" s="92"/>
      <c r="D50" s="92"/>
    </row>
    <row r="51" spans="1:4" x14ac:dyDescent="0.25">
      <c r="C51" s="92"/>
      <c r="D51" s="92"/>
    </row>
    <row r="52" spans="1:4" x14ac:dyDescent="0.25">
      <c r="A52" s="5">
        <f>DATEDIF(B24,C35,"ym")</f>
        <v>11</v>
      </c>
      <c r="C52" s="92"/>
      <c r="D52" s="92"/>
    </row>
    <row r="53" spans="1:4" x14ac:dyDescent="0.25">
      <c r="C53" s="92"/>
      <c r="D53" s="92"/>
    </row>
    <row r="54" spans="1:4" x14ac:dyDescent="0.25">
      <c r="C54" s="92"/>
      <c r="D54" s="92"/>
    </row>
    <row r="55" spans="1:4" x14ac:dyDescent="0.25">
      <c r="C55" s="92"/>
      <c r="D55" s="92"/>
    </row>
    <row r="56" spans="1:4" x14ac:dyDescent="0.25">
      <c r="C56" s="92"/>
      <c r="D56" s="92"/>
    </row>
    <row r="57" spans="1:4" x14ac:dyDescent="0.25">
      <c r="C57" s="92"/>
      <c r="D57" s="92"/>
    </row>
    <row r="58" spans="1:4" x14ac:dyDescent="0.25">
      <c r="C58" s="93"/>
    </row>
    <row r="59" spans="1:4" x14ac:dyDescent="0.25">
      <c r="C59" s="93"/>
    </row>
  </sheetData>
  <mergeCells count="11">
    <mergeCell ref="AN14:AP14"/>
    <mergeCell ref="D15:E15"/>
    <mergeCell ref="F16:AP16"/>
    <mergeCell ref="F17:W17"/>
    <mergeCell ref="X17:AP17"/>
    <mergeCell ref="AB14:AM14"/>
    <mergeCell ref="A1:B1"/>
    <mergeCell ref="H1:I1"/>
    <mergeCell ref="D14:E14"/>
    <mergeCell ref="F14:O14"/>
    <mergeCell ref="P14:AA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D6AB-9C24-4525-974B-A7FA4432EEDA}">
  <dimension ref="A1:R34"/>
  <sheetViews>
    <sheetView tabSelected="1" topLeftCell="E28" zoomScale="80" zoomScaleNormal="80" workbookViewId="0">
      <selection activeCell="P10" sqref="P10"/>
    </sheetView>
  </sheetViews>
  <sheetFormatPr defaultColWidth="8.88671875" defaultRowHeight="13.8" x14ac:dyDescent="0.3"/>
  <cols>
    <col min="1" max="4" width="11.5546875" style="94" hidden="1" customWidth="1"/>
    <col min="5" max="5" width="42.109375" style="94" customWidth="1"/>
    <col min="6" max="6" width="40.44140625" style="94" customWidth="1"/>
    <col min="7" max="7" width="8" style="94" customWidth="1"/>
    <col min="8" max="8" width="7.88671875" style="94" customWidth="1"/>
    <col min="9" max="9" width="16.44140625" style="94" customWidth="1"/>
    <col min="10" max="10" width="18.33203125" style="94" customWidth="1"/>
    <col min="11" max="11" width="22.88671875" style="94" customWidth="1"/>
    <col min="12" max="12" width="26.33203125" style="94" customWidth="1"/>
    <col min="13" max="16" width="11.5546875" style="94" customWidth="1"/>
    <col min="17" max="17" width="21.88671875" style="94" customWidth="1"/>
    <col min="18" max="18" width="8.88671875" style="258"/>
    <col min="19" max="16384" width="8.88671875" style="94"/>
  </cols>
  <sheetData>
    <row r="1" spans="1:18" ht="15" customHeight="1" x14ac:dyDescent="0.3">
      <c r="E1" s="104" t="s">
        <v>113</v>
      </c>
      <c r="G1" s="299" t="s">
        <v>114</v>
      </c>
      <c r="H1" s="299"/>
      <c r="I1" s="299"/>
      <c r="J1" s="299"/>
      <c r="K1" s="299"/>
      <c r="L1" s="299"/>
      <c r="M1" s="299"/>
      <c r="N1" s="299"/>
      <c r="O1" s="299"/>
      <c r="P1" s="299"/>
      <c r="Q1" s="299"/>
    </row>
    <row r="2" spans="1:18" s="3" customFormat="1" ht="31.2" customHeight="1" x14ac:dyDescent="0.3">
      <c r="A2" s="122" t="s">
        <v>115</v>
      </c>
      <c r="B2" s="122"/>
      <c r="C2" s="122"/>
      <c r="D2" s="122"/>
      <c r="E2" s="300" t="s">
        <v>115</v>
      </c>
      <c r="F2" s="301"/>
      <c r="R2" s="259"/>
    </row>
    <row r="3" spans="1:18" s="3" customFormat="1" ht="15" customHeight="1" x14ac:dyDescent="0.3">
      <c r="A3" s="1"/>
      <c r="B3" s="1"/>
      <c r="C3" s="1"/>
      <c r="D3" s="1"/>
      <c r="E3" s="64" t="s">
        <v>116</v>
      </c>
      <c r="R3" s="259"/>
    </row>
    <row r="4" spans="1:18" s="3" customFormat="1" ht="15" customHeight="1" x14ac:dyDescent="0.3">
      <c r="A4" s="1"/>
      <c r="B4" s="1"/>
      <c r="C4" s="1"/>
      <c r="D4" s="1"/>
      <c r="E4" s="64" t="s">
        <v>117</v>
      </c>
      <c r="R4" s="259"/>
    </row>
    <row r="5" spans="1:18" s="3" customFormat="1" ht="15" customHeight="1" x14ac:dyDescent="0.3">
      <c r="A5" s="1"/>
      <c r="B5" s="1"/>
      <c r="C5" s="1"/>
      <c r="D5" s="1"/>
      <c r="E5" s="64"/>
      <c r="R5" s="259"/>
    </row>
    <row r="6" spans="1:18" s="3" customFormat="1" ht="31.2" customHeight="1" x14ac:dyDescent="0.3">
      <c r="A6" s="1"/>
      <c r="B6" s="1"/>
      <c r="C6" s="1"/>
      <c r="D6" s="1"/>
      <c r="E6" s="105" t="s">
        <v>285</v>
      </c>
      <c r="R6" s="259"/>
    </row>
    <row r="7" spans="1:18" s="3" customFormat="1" ht="15" customHeight="1" x14ac:dyDescent="0.3">
      <c r="A7" s="1"/>
      <c r="B7" s="1"/>
      <c r="C7" s="1"/>
      <c r="D7" s="1"/>
      <c r="E7" s="64"/>
      <c r="R7" s="259"/>
    </row>
    <row r="8" spans="1:18" ht="61.5" customHeight="1" x14ac:dyDescent="0.3">
      <c r="A8" s="98" t="s">
        <v>112</v>
      </c>
      <c r="B8" s="120" t="s">
        <v>146</v>
      </c>
      <c r="C8" s="240"/>
      <c r="D8" s="240"/>
      <c r="E8" s="103" t="s">
        <v>106</v>
      </c>
      <c r="F8" s="103" t="s">
        <v>72</v>
      </c>
      <c r="G8" s="123" t="s">
        <v>278</v>
      </c>
      <c r="H8" s="103" t="s">
        <v>60</v>
      </c>
      <c r="I8" s="103" t="s">
        <v>88</v>
      </c>
      <c r="J8" s="103" t="s">
        <v>89</v>
      </c>
      <c r="K8" s="103" t="s">
        <v>64</v>
      </c>
      <c r="L8" s="103" t="s">
        <v>65</v>
      </c>
      <c r="M8" s="103" t="s">
        <v>66</v>
      </c>
      <c r="N8" s="103" t="s">
        <v>67</v>
      </c>
      <c r="O8" s="103" t="s">
        <v>69</v>
      </c>
      <c r="P8" s="103" t="s">
        <v>68</v>
      </c>
      <c r="Q8" s="103" t="s">
        <v>109</v>
      </c>
    </row>
    <row r="9" spans="1:18" ht="61.5" customHeight="1" x14ac:dyDescent="0.3">
      <c r="A9" s="98"/>
      <c r="B9" s="120"/>
      <c r="C9" s="240"/>
      <c r="D9" s="240"/>
      <c r="E9" s="275" t="s">
        <v>15</v>
      </c>
      <c r="F9" s="275" t="s">
        <v>305</v>
      </c>
      <c r="G9" s="276">
        <v>1</v>
      </c>
      <c r="H9" s="277"/>
      <c r="I9" s="278" t="s">
        <v>74</v>
      </c>
      <c r="J9" s="278" t="s">
        <v>91</v>
      </c>
      <c r="K9" s="282" t="s">
        <v>75</v>
      </c>
      <c r="L9" s="279" t="s">
        <v>76</v>
      </c>
      <c r="M9" s="281" t="s">
        <v>317</v>
      </c>
      <c r="N9" s="280">
        <v>0.35416666666666669</v>
      </c>
      <c r="O9" s="278" t="s">
        <v>317</v>
      </c>
      <c r="P9" s="279" t="s">
        <v>70</v>
      </c>
      <c r="Q9" s="277"/>
    </row>
    <row r="10" spans="1:18" ht="54.9" customHeight="1" x14ac:dyDescent="0.3">
      <c r="A10" s="98"/>
      <c r="B10" s="120"/>
      <c r="C10" s="248"/>
      <c r="D10" s="108">
        <v>45839</v>
      </c>
      <c r="E10" s="106" t="s">
        <v>15</v>
      </c>
      <c r="F10" s="106" t="s">
        <v>306</v>
      </c>
      <c r="G10" s="107">
        <v>2</v>
      </c>
      <c r="H10" s="107"/>
      <c r="I10" s="107" t="s">
        <v>74</v>
      </c>
      <c r="J10" s="107" t="s">
        <v>91</v>
      </c>
      <c r="K10" s="262" t="s">
        <v>75</v>
      </c>
      <c r="L10" s="261" t="s">
        <v>76</v>
      </c>
      <c r="M10" s="248" t="s">
        <v>318</v>
      </c>
      <c r="N10" s="246">
        <v>0.35416666666666669</v>
      </c>
      <c r="O10" s="248" t="s">
        <v>318</v>
      </c>
      <c r="P10" s="283" t="s">
        <v>70</v>
      </c>
      <c r="Q10" s="95"/>
      <c r="R10" s="260"/>
    </row>
    <row r="11" spans="1:18" ht="54.9" customHeight="1" x14ac:dyDescent="0.3">
      <c r="A11" s="98"/>
      <c r="B11" s="120"/>
      <c r="C11" s="248"/>
      <c r="D11" s="108"/>
      <c r="E11" s="106" t="s">
        <v>15</v>
      </c>
      <c r="F11" s="106" t="s">
        <v>316</v>
      </c>
      <c r="G11" s="107">
        <v>1</v>
      </c>
      <c r="H11" s="107"/>
      <c r="I11" s="107" t="s">
        <v>74</v>
      </c>
      <c r="J11" s="107" t="s">
        <v>91</v>
      </c>
      <c r="K11" s="263" t="s">
        <v>279</v>
      </c>
      <c r="L11" s="107" t="s">
        <v>281</v>
      </c>
      <c r="M11" s="248" t="s">
        <v>293</v>
      </c>
      <c r="N11" s="246">
        <v>0.35416666666666669</v>
      </c>
      <c r="O11" s="248" t="s">
        <v>293</v>
      </c>
      <c r="P11" s="248" t="s">
        <v>70</v>
      </c>
      <c r="Q11" s="95"/>
      <c r="R11" s="260"/>
    </row>
    <row r="12" spans="1:18" ht="54.9" customHeight="1" x14ac:dyDescent="0.3">
      <c r="A12" s="98"/>
      <c r="B12" s="120"/>
      <c r="C12" s="248"/>
      <c r="D12" s="108"/>
      <c r="E12" s="106" t="s">
        <v>15</v>
      </c>
      <c r="F12" s="106" t="s">
        <v>306</v>
      </c>
      <c r="G12" s="107">
        <v>2</v>
      </c>
      <c r="H12" s="107"/>
      <c r="I12" s="107" t="s">
        <v>74</v>
      </c>
      <c r="J12" s="107" t="s">
        <v>91</v>
      </c>
      <c r="K12" s="263" t="s">
        <v>279</v>
      </c>
      <c r="L12" s="107" t="s">
        <v>281</v>
      </c>
      <c r="M12" s="248" t="s">
        <v>302</v>
      </c>
      <c r="N12" s="246">
        <v>0.35416666666666669</v>
      </c>
      <c r="O12" s="248" t="s">
        <v>302</v>
      </c>
      <c r="P12" s="248" t="s">
        <v>70</v>
      </c>
      <c r="Q12" s="95"/>
      <c r="R12" s="260"/>
    </row>
    <row r="13" spans="1:18" ht="54.9" customHeight="1" x14ac:dyDescent="0.3">
      <c r="A13" s="98"/>
      <c r="B13" s="120"/>
      <c r="C13" s="248"/>
      <c r="D13" s="108"/>
      <c r="E13" s="106" t="s">
        <v>15</v>
      </c>
      <c r="F13" s="106" t="s">
        <v>305</v>
      </c>
      <c r="G13" s="107">
        <v>1</v>
      </c>
      <c r="H13" s="107"/>
      <c r="I13" s="107" t="s">
        <v>74</v>
      </c>
      <c r="J13" s="107" t="s">
        <v>91</v>
      </c>
      <c r="K13" s="273" t="s">
        <v>62</v>
      </c>
      <c r="L13" s="107" t="s">
        <v>304</v>
      </c>
      <c r="M13" s="248" t="s">
        <v>294</v>
      </c>
      <c r="N13" s="246">
        <v>0.35416666666666669</v>
      </c>
      <c r="O13" s="248" t="s">
        <v>294</v>
      </c>
      <c r="P13" s="248" t="s">
        <v>70</v>
      </c>
      <c r="Q13" s="95"/>
      <c r="R13" s="260"/>
    </row>
    <row r="14" spans="1:18" ht="54.9" customHeight="1" x14ac:dyDescent="0.3">
      <c r="A14" s="98"/>
      <c r="B14" s="120"/>
      <c r="C14" s="248"/>
      <c r="D14" s="108"/>
      <c r="E14" s="106" t="s">
        <v>15</v>
      </c>
      <c r="F14" s="106" t="s">
        <v>306</v>
      </c>
      <c r="G14" s="107">
        <v>2</v>
      </c>
      <c r="H14" s="107"/>
      <c r="I14" s="107" t="s">
        <v>74</v>
      </c>
      <c r="J14" s="107" t="s">
        <v>91</v>
      </c>
      <c r="K14" s="273" t="s">
        <v>62</v>
      </c>
      <c r="L14" s="107" t="s">
        <v>304</v>
      </c>
      <c r="M14" s="248" t="s">
        <v>292</v>
      </c>
      <c r="N14" s="246">
        <v>0.35416666666666669</v>
      </c>
      <c r="O14" s="248" t="s">
        <v>292</v>
      </c>
      <c r="P14" s="248" t="s">
        <v>70</v>
      </c>
      <c r="Q14" s="95"/>
      <c r="R14" s="260"/>
    </row>
    <row r="15" spans="1:18" ht="54.9" customHeight="1" x14ac:dyDescent="0.3">
      <c r="A15" s="98"/>
      <c r="B15" s="120"/>
      <c r="C15" s="248"/>
      <c r="D15" s="108"/>
      <c r="E15" s="106" t="s">
        <v>15</v>
      </c>
      <c r="F15" s="106" t="s">
        <v>307</v>
      </c>
      <c r="G15" s="107">
        <v>3</v>
      </c>
      <c r="H15" s="107"/>
      <c r="I15" s="107" t="s">
        <v>74</v>
      </c>
      <c r="J15" s="107" t="s">
        <v>91</v>
      </c>
      <c r="K15" s="273" t="s">
        <v>62</v>
      </c>
      <c r="L15" s="107" t="s">
        <v>304</v>
      </c>
      <c r="M15" s="248" t="s">
        <v>308</v>
      </c>
      <c r="N15" s="246">
        <v>0.35416666666666669</v>
      </c>
      <c r="O15" s="248" t="s">
        <v>308</v>
      </c>
      <c r="P15" s="248" t="s">
        <v>70</v>
      </c>
      <c r="Q15" s="95"/>
      <c r="R15" s="260"/>
    </row>
    <row r="16" spans="1:18" ht="54.9" customHeight="1" x14ac:dyDescent="0.3">
      <c r="A16" s="98"/>
      <c r="B16" s="120"/>
      <c r="C16" s="248"/>
      <c r="D16" s="108"/>
      <c r="E16" s="106" t="s">
        <v>15</v>
      </c>
      <c r="F16" s="106" t="s">
        <v>288</v>
      </c>
      <c r="G16" s="107">
        <v>1</v>
      </c>
      <c r="H16" s="107"/>
      <c r="I16" s="107" t="s">
        <v>73</v>
      </c>
      <c r="J16" s="107" t="s">
        <v>93</v>
      </c>
      <c r="K16" s="264" t="s">
        <v>289</v>
      </c>
      <c r="L16" s="107" t="s">
        <v>80</v>
      </c>
      <c r="M16" s="248" t="s">
        <v>294</v>
      </c>
      <c r="N16" s="246">
        <v>0.46180555555555558</v>
      </c>
      <c r="O16" s="248" t="s">
        <v>294</v>
      </c>
      <c r="P16" s="248" t="s">
        <v>70</v>
      </c>
      <c r="Q16" s="106"/>
      <c r="R16" s="260"/>
    </row>
    <row r="17" spans="1:18" ht="54.9" customHeight="1" x14ac:dyDescent="0.3">
      <c r="A17" s="98"/>
      <c r="B17" s="120"/>
      <c r="C17" s="248"/>
      <c r="D17" s="108"/>
      <c r="E17" s="106" t="s">
        <v>15</v>
      </c>
      <c r="F17" s="106" t="s">
        <v>290</v>
      </c>
      <c r="G17" s="107">
        <v>2</v>
      </c>
      <c r="H17" s="107"/>
      <c r="I17" s="107" t="s">
        <v>73</v>
      </c>
      <c r="J17" s="107" t="s">
        <v>93</v>
      </c>
      <c r="K17" s="264" t="s">
        <v>289</v>
      </c>
      <c r="L17" s="272" t="s">
        <v>80</v>
      </c>
      <c r="M17" s="248" t="s">
        <v>293</v>
      </c>
      <c r="N17" s="246">
        <v>0.46180555555555558</v>
      </c>
      <c r="O17" s="248" t="s">
        <v>293</v>
      </c>
      <c r="P17" s="248" t="s">
        <v>70</v>
      </c>
      <c r="Q17" s="106"/>
      <c r="R17" s="260"/>
    </row>
    <row r="18" spans="1:18" ht="54.9" customHeight="1" x14ac:dyDescent="0.3">
      <c r="A18" s="98"/>
      <c r="B18" s="120"/>
      <c r="C18" s="248"/>
      <c r="D18" s="108"/>
      <c r="E18" s="106" t="s">
        <v>15</v>
      </c>
      <c r="F18" s="106" t="s">
        <v>291</v>
      </c>
      <c r="G18" s="107">
        <v>3</v>
      </c>
      <c r="H18" s="107"/>
      <c r="I18" s="107" t="s">
        <v>73</v>
      </c>
      <c r="J18" s="107" t="s">
        <v>93</v>
      </c>
      <c r="K18" s="264" t="s">
        <v>289</v>
      </c>
      <c r="L18" s="272" t="s">
        <v>80</v>
      </c>
      <c r="M18" s="248" t="s">
        <v>292</v>
      </c>
      <c r="N18" s="246">
        <v>0.46180555555555558</v>
      </c>
      <c r="O18" s="248" t="s">
        <v>292</v>
      </c>
      <c r="P18" s="248" t="s">
        <v>70</v>
      </c>
      <c r="Q18" s="106"/>
      <c r="R18" s="260"/>
    </row>
    <row r="19" spans="1:18" ht="54.9" customHeight="1" x14ac:dyDescent="0.3">
      <c r="A19" s="98"/>
      <c r="B19" s="120"/>
      <c r="C19" s="248"/>
      <c r="D19" s="108"/>
      <c r="E19" s="106" t="s">
        <v>15</v>
      </c>
      <c r="F19" s="106" t="s">
        <v>299</v>
      </c>
      <c r="G19" s="107">
        <v>1</v>
      </c>
      <c r="H19" s="107"/>
      <c r="I19" s="107" t="s">
        <v>73</v>
      </c>
      <c r="J19" s="107" t="s">
        <v>103</v>
      </c>
      <c r="K19" s="271" t="s">
        <v>297</v>
      </c>
      <c r="L19" s="270" t="s">
        <v>298</v>
      </c>
      <c r="M19" s="248" t="s">
        <v>293</v>
      </c>
      <c r="N19" s="246">
        <v>0.48958333333333331</v>
      </c>
      <c r="O19" s="248" t="s">
        <v>293</v>
      </c>
      <c r="P19" s="248" t="s">
        <v>70</v>
      </c>
      <c r="Q19" s="106"/>
      <c r="R19" s="260"/>
    </row>
    <row r="20" spans="1:18" ht="54.9" customHeight="1" x14ac:dyDescent="0.3">
      <c r="A20" s="98"/>
      <c r="B20" s="120"/>
      <c r="C20" s="248"/>
      <c r="D20" s="108"/>
      <c r="E20" s="106" t="s">
        <v>15</v>
      </c>
      <c r="F20" s="106" t="s">
        <v>300</v>
      </c>
      <c r="G20" s="107">
        <v>2</v>
      </c>
      <c r="H20" s="107"/>
      <c r="I20" s="107" t="s">
        <v>73</v>
      </c>
      <c r="J20" s="107" t="s">
        <v>103</v>
      </c>
      <c r="K20" s="271" t="s">
        <v>297</v>
      </c>
      <c r="L20" s="270" t="s">
        <v>298</v>
      </c>
      <c r="M20" s="248" t="s">
        <v>292</v>
      </c>
      <c r="N20" s="246">
        <v>0.67708333333333337</v>
      </c>
      <c r="O20" s="248" t="s">
        <v>292</v>
      </c>
      <c r="P20" s="248" t="s">
        <v>70</v>
      </c>
      <c r="Q20" s="106"/>
      <c r="R20" s="260"/>
    </row>
    <row r="21" spans="1:18" ht="54.9" customHeight="1" x14ac:dyDescent="0.3">
      <c r="A21" s="98"/>
      <c r="B21" s="120"/>
      <c r="C21" s="248"/>
      <c r="D21" s="108"/>
      <c r="E21" s="106" t="s">
        <v>15</v>
      </c>
      <c r="F21" s="106" t="s">
        <v>286</v>
      </c>
      <c r="G21" s="107">
        <v>15</v>
      </c>
      <c r="H21" s="107"/>
      <c r="I21" s="107" t="s">
        <v>73</v>
      </c>
      <c r="J21" s="107" t="s">
        <v>104</v>
      </c>
      <c r="K21" s="265" t="s">
        <v>86</v>
      </c>
      <c r="L21" s="107" t="s">
        <v>283</v>
      </c>
      <c r="M21" s="248" t="s">
        <v>287</v>
      </c>
      <c r="N21" s="246">
        <v>0.60763888888888884</v>
      </c>
      <c r="O21" s="248" t="s">
        <v>287</v>
      </c>
      <c r="P21" s="248" t="s">
        <v>70</v>
      </c>
      <c r="Q21" s="106"/>
      <c r="R21" s="260"/>
    </row>
    <row r="22" spans="1:18" ht="54.9" customHeight="1" x14ac:dyDescent="0.3">
      <c r="A22" s="98"/>
      <c r="B22" s="120"/>
      <c r="C22" s="248"/>
      <c r="D22" s="108"/>
      <c r="E22" s="106" t="s">
        <v>15</v>
      </c>
      <c r="F22" s="106" t="s">
        <v>315</v>
      </c>
      <c r="G22" s="107">
        <v>1</v>
      </c>
      <c r="H22" s="107"/>
      <c r="I22" s="107" t="s">
        <v>73</v>
      </c>
      <c r="J22" s="107" t="s">
        <v>95</v>
      </c>
      <c r="K22" s="266" t="s">
        <v>56</v>
      </c>
      <c r="L22" s="100" t="s">
        <v>83</v>
      </c>
      <c r="M22" s="248" t="s">
        <v>292</v>
      </c>
      <c r="N22" s="246">
        <v>0.47916666666666669</v>
      </c>
      <c r="O22" s="248" t="s">
        <v>292</v>
      </c>
      <c r="P22" s="248" t="s">
        <v>70</v>
      </c>
      <c r="Q22" s="106"/>
      <c r="R22" s="260">
        <f t="shared" ref="R22:R27" si="0">N22 + TIME(1,30,0)</f>
        <v>0.54166666666666674</v>
      </c>
    </row>
    <row r="23" spans="1:18" ht="54.9" customHeight="1" x14ac:dyDescent="0.3">
      <c r="A23" s="98"/>
      <c r="B23" s="120"/>
      <c r="C23" s="248"/>
      <c r="D23" s="108"/>
      <c r="E23" s="106" t="s">
        <v>15</v>
      </c>
      <c r="F23" s="106" t="s">
        <v>319</v>
      </c>
      <c r="G23" s="107">
        <v>2</v>
      </c>
      <c r="H23" s="107"/>
      <c r="I23" s="107" t="s">
        <v>73</v>
      </c>
      <c r="J23" s="107" t="s">
        <v>95</v>
      </c>
      <c r="K23" s="266" t="s">
        <v>56</v>
      </c>
      <c r="L23" s="100" t="s">
        <v>83</v>
      </c>
      <c r="M23" s="248" t="s">
        <v>314</v>
      </c>
      <c r="N23" s="246">
        <v>0.54166666666666663</v>
      </c>
      <c r="O23" s="248" t="s">
        <v>314</v>
      </c>
      <c r="P23" s="248" t="s">
        <v>70</v>
      </c>
      <c r="Q23" s="106"/>
      <c r="R23" s="260"/>
    </row>
    <row r="24" spans="1:18" ht="54.9" customHeight="1" x14ac:dyDescent="0.3">
      <c r="A24" s="98"/>
      <c r="B24" s="120"/>
      <c r="C24" s="248"/>
      <c r="D24" s="108"/>
      <c r="E24" s="106" t="s">
        <v>15</v>
      </c>
      <c r="F24" s="106" t="s">
        <v>295</v>
      </c>
      <c r="G24" s="107">
        <v>1</v>
      </c>
      <c r="H24" s="107"/>
      <c r="I24" s="107" t="s">
        <v>73</v>
      </c>
      <c r="J24" s="107" t="s">
        <v>284</v>
      </c>
      <c r="K24" s="267" t="s">
        <v>280</v>
      </c>
      <c r="L24" s="107" t="s">
        <v>282</v>
      </c>
      <c r="M24" s="248" t="s">
        <v>294</v>
      </c>
      <c r="N24" s="274">
        <v>0.52083333333333337</v>
      </c>
      <c r="O24" s="248" t="s">
        <v>294</v>
      </c>
      <c r="P24" s="248" t="s">
        <v>70</v>
      </c>
      <c r="Q24" s="106"/>
      <c r="R24" s="260">
        <f t="shared" si="0"/>
        <v>0.58333333333333337</v>
      </c>
    </row>
    <row r="25" spans="1:18" ht="54.9" customHeight="1" x14ac:dyDescent="0.3">
      <c r="A25" s="98"/>
      <c r="B25" s="120"/>
      <c r="C25" s="248"/>
      <c r="D25" s="108"/>
      <c r="E25" s="106" t="s">
        <v>15</v>
      </c>
      <c r="F25" s="106" t="s">
        <v>296</v>
      </c>
      <c r="G25" s="107">
        <v>2</v>
      </c>
      <c r="H25" s="107"/>
      <c r="I25" s="107" t="s">
        <v>73</v>
      </c>
      <c r="J25" s="107" t="s">
        <v>284</v>
      </c>
      <c r="K25" s="267" t="s">
        <v>280</v>
      </c>
      <c r="L25" s="107" t="s">
        <v>282</v>
      </c>
      <c r="M25" s="248" t="s">
        <v>292</v>
      </c>
      <c r="N25" s="274">
        <v>0.52083333333333337</v>
      </c>
      <c r="O25" s="248" t="s">
        <v>292</v>
      </c>
      <c r="P25" s="248" t="s">
        <v>70</v>
      </c>
      <c r="Q25" s="106"/>
      <c r="R25" s="260"/>
    </row>
    <row r="26" spans="1:18" ht="54.9" customHeight="1" x14ac:dyDescent="0.3">
      <c r="A26" s="98"/>
      <c r="B26" s="120"/>
      <c r="C26" s="248"/>
      <c r="D26" s="108"/>
      <c r="E26" s="106" t="s">
        <v>15</v>
      </c>
      <c r="F26" s="106" t="s">
        <v>301</v>
      </c>
      <c r="G26" s="107">
        <v>1</v>
      </c>
      <c r="H26" s="107"/>
      <c r="I26" s="107" t="s">
        <v>73</v>
      </c>
      <c r="J26" s="107" t="s">
        <v>90</v>
      </c>
      <c r="K26" s="268" t="s">
        <v>55</v>
      </c>
      <c r="L26" s="100" t="s">
        <v>63</v>
      </c>
      <c r="M26" s="248" t="s">
        <v>293</v>
      </c>
      <c r="N26" s="246">
        <v>0.54166666666666663</v>
      </c>
      <c r="O26" s="248" t="s">
        <v>293</v>
      </c>
      <c r="P26" s="248" t="s">
        <v>70</v>
      </c>
      <c r="Q26" s="106"/>
      <c r="R26" s="260"/>
    </row>
    <row r="27" spans="1:18" ht="54.9" customHeight="1" x14ac:dyDescent="0.3">
      <c r="A27" s="98"/>
      <c r="B27" s="120"/>
      <c r="C27" s="248"/>
      <c r="D27" s="108"/>
      <c r="E27" s="106" t="s">
        <v>15</v>
      </c>
      <c r="F27" s="106" t="s">
        <v>303</v>
      </c>
      <c r="G27" s="107">
        <v>2</v>
      </c>
      <c r="H27" s="107"/>
      <c r="I27" s="107" t="s">
        <v>73</v>
      </c>
      <c r="J27" s="107" t="s">
        <v>90</v>
      </c>
      <c r="K27" s="268" t="s">
        <v>55</v>
      </c>
      <c r="L27" s="100" t="s">
        <v>63</v>
      </c>
      <c r="M27" s="248" t="s">
        <v>302</v>
      </c>
      <c r="N27" s="246">
        <v>0.54166666666666663</v>
      </c>
      <c r="O27" s="248" t="s">
        <v>302</v>
      </c>
      <c r="P27" s="248" t="s">
        <v>70</v>
      </c>
      <c r="Q27" s="106"/>
      <c r="R27" s="260">
        <f t="shared" si="0"/>
        <v>0.60416666666666663</v>
      </c>
    </row>
    <row r="28" spans="1:18" ht="54.9" customHeight="1" x14ac:dyDescent="0.3">
      <c r="A28" s="98"/>
      <c r="B28" s="120"/>
      <c r="C28" s="248"/>
      <c r="D28" s="108"/>
      <c r="E28" s="106" t="s">
        <v>15</v>
      </c>
      <c r="F28" s="106" t="s">
        <v>309</v>
      </c>
      <c r="G28" s="107">
        <v>1</v>
      </c>
      <c r="H28" s="107"/>
      <c r="I28" s="107" t="s">
        <v>73</v>
      </c>
      <c r="J28" s="107" t="s">
        <v>94</v>
      </c>
      <c r="K28" s="269" t="s">
        <v>81</v>
      </c>
      <c r="L28" s="100" t="s">
        <v>82</v>
      </c>
      <c r="M28" s="248" t="s">
        <v>310</v>
      </c>
      <c r="N28" s="246">
        <v>0.47916666666666669</v>
      </c>
      <c r="O28" s="248" t="s">
        <v>310</v>
      </c>
      <c r="P28" s="248" t="s">
        <v>70</v>
      </c>
      <c r="Q28" s="106"/>
      <c r="R28" s="260"/>
    </row>
    <row r="29" spans="1:18" ht="54.9" customHeight="1" x14ac:dyDescent="0.3">
      <c r="A29" s="98"/>
      <c r="B29" s="120"/>
      <c r="C29" s="248"/>
      <c r="D29" s="108"/>
      <c r="E29" s="106" t="s">
        <v>15</v>
      </c>
      <c r="F29" s="106" t="s">
        <v>311</v>
      </c>
      <c r="G29" s="107">
        <v>2</v>
      </c>
      <c r="H29" s="107"/>
      <c r="I29" s="107" t="s">
        <v>73</v>
      </c>
      <c r="J29" s="107" t="s">
        <v>94</v>
      </c>
      <c r="K29" s="269" t="s">
        <v>81</v>
      </c>
      <c r="L29" s="100" t="s">
        <v>82</v>
      </c>
      <c r="M29" s="248" t="s">
        <v>312</v>
      </c>
      <c r="N29" s="246">
        <v>0.47916666666666669</v>
      </c>
      <c r="O29" s="248" t="s">
        <v>312</v>
      </c>
      <c r="P29" s="248" t="s">
        <v>70</v>
      </c>
      <c r="Q29" s="106"/>
      <c r="R29" s="260"/>
    </row>
    <row r="30" spans="1:18" ht="54.9" customHeight="1" x14ac:dyDescent="0.3">
      <c r="A30" s="98"/>
      <c r="B30" s="120"/>
      <c r="C30" s="248"/>
      <c r="D30" s="108"/>
      <c r="E30" s="106" t="s">
        <v>15</v>
      </c>
      <c r="F30" s="106" t="s">
        <v>313</v>
      </c>
      <c r="G30" s="107">
        <v>3</v>
      </c>
      <c r="H30" s="107"/>
      <c r="I30" s="107" t="s">
        <v>73</v>
      </c>
      <c r="J30" s="107" t="s">
        <v>94</v>
      </c>
      <c r="K30" s="269" t="s">
        <v>81</v>
      </c>
      <c r="L30" s="100" t="s">
        <v>82</v>
      </c>
      <c r="M30" s="248" t="s">
        <v>314</v>
      </c>
      <c r="N30" s="246">
        <v>0.47916666666666669</v>
      </c>
      <c r="O30" s="248" t="s">
        <v>314</v>
      </c>
      <c r="P30" s="248" t="s">
        <v>70</v>
      </c>
      <c r="Q30" s="106"/>
      <c r="R30" s="260"/>
    </row>
    <row r="31" spans="1:18" ht="54.9" customHeight="1" x14ac:dyDescent="0.3">
      <c r="A31" s="98"/>
      <c r="B31" s="120"/>
      <c r="C31" s="248"/>
      <c r="D31" s="108"/>
      <c r="E31" s="106" t="s">
        <v>15</v>
      </c>
      <c r="F31" s="106" t="s">
        <v>322</v>
      </c>
      <c r="G31" s="107">
        <v>1</v>
      </c>
      <c r="H31" s="107"/>
      <c r="I31" s="107" t="s">
        <v>73</v>
      </c>
      <c r="J31" s="107" t="s">
        <v>320</v>
      </c>
      <c r="K31" s="370" t="s">
        <v>321</v>
      </c>
      <c r="L31" s="100" t="s">
        <v>119</v>
      </c>
      <c r="M31" s="368" t="s">
        <v>293</v>
      </c>
      <c r="N31" s="369">
        <v>0.5625</v>
      </c>
      <c r="O31" s="368" t="s">
        <v>293</v>
      </c>
      <c r="P31" s="248" t="s">
        <v>70</v>
      </c>
      <c r="Q31" s="106"/>
      <c r="R31" s="260"/>
    </row>
    <row r="32" spans="1:18" ht="54.9" customHeight="1" x14ac:dyDescent="0.3">
      <c r="A32" s="98"/>
      <c r="B32" s="120"/>
      <c r="C32" s="248"/>
      <c r="D32" s="108"/>
      <c r="E32" s="106" t="s">
        <v>15</v>
      </c>
      <c r="F32" s="106" t="s">
        <v>303</v>
      </c>
      <c r="G32" s="107">
        <v>2</v>
      </c>
      <c r="H32" s="107"/>
      <c r="I32" s="107" t="s">
        <v>73</v>
      </c>
      <c r="J32" s="107" t="s">
        <v>320</v>
      </c>
      <c r="K32" s="370" t="s">
        <v>321</v>
      </c>
      <c r="L32" s="100" t="s">
        <v>119</v>
      </c>
      <c r="M32" s="283" t="s">
        <v>302</v>
      </c>
      <c r="N32" s="371">
        <v>0.5625</v>
      </c>
      <c r="O32" s="283" t="s">
        <v>302</v>
      </c>
      <c r="P32" s="248" t="s">
        <v>70</v>
      </c>
      <c r="Q32" s="106"/>
      <c r="R32" s="260"/>
    </row>
    <row r="33" spans="1:17" ht="142.19999999999999" customHeight="1" x14ac:dyDescent="0.3">
      <c r="A33" s="94" t="e" vm="1">
        <v>#VALUE!</v>
      </c>
      <c r="E33" s="302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</row>
    <row r="34" spans="1:17" ht="65.400000000000006" customHeight="1" x14ac:dyDescent="0.3">
      <c r="E34" s="304" t="s">
        <v>243</v>
      </c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</row>
  </sheetData>
  <sheetProtection formatCells="0" formatColumns="0" formatRows="0" insertColumns="0" insertRows="0" insertHyperlinks="0" deleteColumns="0" deleteRows="0" sort="0" autoFilter="0" pivotTables="0"/>
  <autoFilter ref="A8:Q34" xr:uid="{2D5397B6-A7EF-44BC-AFEB-2E3D8598E273}"/>
  <mergeCells count="4">
    <mergeCell ref="G1:Q1"/>
    <mergeCell ref="E2:F2"/>
    <mergeCell ref="E33:Q33"/>
    <mergeCell ref="E34:Q34"/>
  </mergeCells>
  <phoneticPr fontId="20" type="noConversion"/>
  <printOptions horizontalCentered="1"/>
  <pageMargins left="1" right="1" top="1" bottom="1" header="0.5" footer="0.5"/>
  <pageSetup paperSize="8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7EB3-D399-4C34-8845-44C9142DEF4E}">
  <dimension ref="A1:Q73"/>
  <sheetViews>
    <sheetView topLeftCell="D45" zoomScale="90" zoomScaleNormal="90" workbookViewId="0">
      <selection activeCell="E35" sqref="E35"/>
    </sheetView>
  </sheetViews>
  <sheetFormatPr defaultColWidth="8.88671875" defaultRowHeight="13.8" x14ac:dyDescent="0.3"/>
  <cols>
    <col min="1" max="3" width="11.5546875" style="94" hidden="1" customWidth="1"/>
    <col min="4" max="4" width="42.109375" style="94" customWidth="1"/>
    <col min="5" max="5" width="40.44140625" style="94" customWidth="1"/>
    <col min="6" max="6" width="8" style="94" customWidth="1"/>
    <col min="7" max="7" width="7.88671875" style="94" customWidth="1"/>
    <col min="8" max="8" width="16.44140625" style="94" customWidth="1"/>
    <col min="9" max="9" width="18.33203125" style="94" customWidth="1"/>
    <col min="10" max="10" width="22.88671875" style="94" customWidth="1"/>
    <col min="11" max="11" width="26.33203125" style="94" customWidth="1"/>
    <col min="12" max="15" width="11.5546875" style="94" customWidth="1"/>
    <col min="16" max="16" width="21.88671875" style="94" customWidth="1"/>
    <col min="17" max="16384" width="8.88671875" style="94"/>
  </cols>
  <sheetData>
    <row r="1" spans="1:17" ht="15" customHeight="1" x14ac:dyDescent="0.3">
      <c r="D1" s="104" t="s">
        <v>113</v>
      </c>
      <c r="F1" s="299" t="s">
        <v>114</v>
      </c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pans="1:17" s="3" customFormat="1" ht="31.2" customHeight="1" x14ac:dyDescent="0.3">
      <c r="A2" s="122" t="s">
        <v>115</v>
      </c>
      <c r="B2" s="122"/>
      <c r="C2" s="122"/>
      <c r="D2" s="300" t="s">
        <v>115</v>
      </c>
      <c r="E2" s="301"/>
    </row>
    <row r="3" spans="1:17" s="3" customFormat="1" ht="15" customHeight="1" x14ac:dyDescent="0.3">
      <c r="A3" s="1"/>
      <c r="B3" s="1"/>
      <c r="C3" s="1"/>
      <c r="D3" s="64" t="s">
        <v>116</v>
      </c>
    </row>
    <row r="4" spans="1:17" s="3" customFormat="1" ht="15" customHeight="1" x14ac:dyDescent="0.3">
      <c r="A4" s="1"/>
      <c r="B4" s="1"/>
      <c r="C4" s="1"/>
      <c r="D4" s="64" t="s">
        <v>117</v>
      </c>
    </row>
    <row r="5" spans="1:17" s="3" customFormat="1" ht="15" customHeight="1" x14ac:dyDescent="0.3">
      <c r="A5" s="1"/>
      <c r="B5" s="1"/>
      <c r="C5" s="1"/>
      <c r="D5" s="64"/>
    </row>
    <row r="6" spans="1:17" s="3" customFormat="1" ht="31.2" customHeight="1" x14ac:dyDescent="0.3">
      <c r="A6" s="1"/>
      <c r="B6" s="1"/>
      <c r="C6" s="1"/>
      <c r="D6" s="105" t="s">
        <v>262</v>
      </c>
    </row>
    <row r="7" spans="1:17" s="3" customFormat="1" ht="15" customHeight="1" x14ac:dyDescent="0.3">
      <c r="A7" s="1"/>
      <c r="B7" s="1"/>
      <c r="C7" s="1"/>
      <c r="D7" s="64"/>
    </row>
    <row r="8" spans="1:17" ht="61.5" customHeight="1" x14ac:dyDescent="0.3">
      <c r="A8" s="98" t="s">
        <v>112</v>
      </c>
      <c r="B8" s="120" t="s">
        <v>146</v>
      </c>
      <c r="C8" s="240"/>
      <c r="D8" s="103" t="s">
        <v>106</v>
      </c>
      <c r="E8" s="103" t="s">
        <v>72</v>
      </c>
      <c r="F8" s="123" t="s">
        <v>149</v>
      </c>
      <c r="G8" s="103" t="s">
        <v>60</v>
      </c>
      <c r="H8" s="103" t="s">
        <v>88</v>
      </c>
      <c r="I8" s="103" t="s">
        <v>89</v>
      </c>
      <c r="J8" s="103" t="s">
        <v>64</v>
      </c>
      <c r="K8" s="103" t="s">
        <v>65</v>
      </c>
      <c r="L8" s="103" t="s">
        <v>66</v>
      </c>
      <c r="M8" s="103" t="s">
        <v>67</v>
      </c>
      <c r="N8" s="103" t="s">
        <v>69</v>
      </c>
      <c r="O8" s="103" t="s">
        <v>68</v>
      </c>
      <c r="P8" s="103" t="s">
        <v>109</v>
      </c>
    </row>
    <row r="9" spans="1:17" ht="119.4" customHeight="1" x14ac:dyDescent="0.3">
      <c r="A9" s="98"/>
      <c r="B9" s="120"/>
      <c r="C9" s="245"/>
      <c r="D9" s="95" t="s">
        <v>7</v>
      </c>
      <c r="E9" s="95"/>
      <c r="F9" s="100"/>
      <c r="G9" s="100"/>
      <c r="H9" s="95"/>
      <c r="I9" s="95"/>
      <c r="J9" s="95"/>
      <c r="K9" s="95"/>
      <c r="L9" s="96"/>
      <c r="M9" s="100"/>
      <c r="N9" s="96"/>
      <c r="O9" s="95"/>
      <c r="P9" s="95" t="s">
        <v>152</v>
      </c>
    </row>
    <row r="10" spans="1:17" ht="98.25" customHeight="1" x14ac:dyDescent="0.3">
      <c r="A10" s="98"/>
      <c r="B10" s="120"/>
      <c r="C10" s="245"/>
      <c r="D10" s="131" t="s">
        <v>9</v>
      </c>
      <c r="E10" s="131"/>
      <c r="F10" s="132"/>
      <c r="G10" s="132"/>
      <c r="H10" s="131"/>
      <c r="I10" s="131"/>
      <c r="J10" s="131"/>
      <c r="K10" s="131"/>
      <c r="L10" s="134"/>
      <c r="M10" s="132"/>
      <c r="N10" s="134"/>
      <c r="O10" s="131"/>
      <c r="P10" s="131" t="s">
        <v>153</v>
      </c>
    </row>
    <row r="11" spans="1:17" ht="77.25" customHeight="1" x14ac:dyDescent="0.3">
      <c r="A11" s="98"/>
      <c r="B11" s="120"/>
      <c r="C11" s="245"/>
      <c r="D11" s="95" t="s">
        <v>11</v>
      </c>
      <c r="E11" s="95"/>
      <c r="F11" s="100"/>
      <c r="G11" s="100"/>
      <c r="H11" s="95"/>
      <c r="I11" s="95"/>
      <c r="J11" s="95"/>
      <c r="K11" s="95"/>
      <c r="L11" s="96"/>
      <c r="M11" s="100"/>
      <c r="N11" s="96"/>
      <c r="O11" s="95"/>
      <c r="P11" s="95" t="s">
        <v>263</v>
      </c>
    </row>
    <row r="12" spans="1:17" ht="120.75" customHeight="1" x14ac:dyDescent="0.3">
      <c r="A12" s="98"/>
      <c r="B12" s="120"/>
      <c r="C12" s="248">
        <v>45817</v>
      </c>
      <c r="D12" s="133" t="s">
        <v>13</v>
      </c>
      <c r="E12" s="133" t="s">
        <v>268</v>
      </c>
      <c r="F12" s="241">
        <v>2</v>
      </c>
      <c r="G12" s="241"/>
      <c r="H12" s="133" t="s">
        <v>73</v>
      </c>
      <c r="I12" s="133" t="s">
        <v>272</v>
      </c>
      <c r="J12" s="133" t="s">
        <v>73</v>
      </c>
      <c r="K12" s="133" t="s">
        <v>98</v>
      </c>
      <c r="L12" s="242">
        <v>45817</v>
      </c>
      <c r="M12" s="249">
        <v>0.79166666666666663</v>
      </c>
      <c r="N12" s="242">
        <v>45817</v>
      </c>
      <c r="O12" s="133" t="s">
        <v>266</v>
      </c>
      <c r="P12" s="133" t="s">
        <v>267</v>
      </c>
    </row>
    <row r="13" spans="1:17" ht="30" customHeight="1" x14ac:dyDescent="0.3">
      <c r="A13" s="96">
        <v>45748</v>
      </c>
      <c r="B13" s="96">
        <v>45779</v>
      </c>
      <c r="C13" s="96">
        <v>45810</v>
      </c>
      <c r="D13" s="95" t="s">
        <v>15</v>
      </c>
      <c r="E13" s="95" t="s">
        <v>107</v>
      </c>
      <c r="F13" s="100">
        <v>11</v>
      </c>
      <c r="G13" s="100"/>
      <c r="H13" s="95" t="s">
        <v>73</v>
      </c>
      <c r="I13" s="95" t="s">
        <v>90</v>
      </c>
      <c r="J13" s="95" t="s">
        <v>55</v>
      </c>
      <c r="K13" s="95" t="s">
        <v>63</v>
      </c>
      <c r="L13" s="96">
        <v>45810</v>
      </c>
      <c r="M13" s="250">
        <v>0.54861111111111116</v>
      </c>
      <c r="N13" s="96">
        <v>45810</v>
      </c>
      <c r="O13" s="96" t="s">
        <v>70</v>
      </c>
      <c r="P13" s="95"/>
      <c r="Q13" s="244">
        <f t="shared" ref="Q13:Q68" si="0">M13 + TIME(1,30,0)</f>
        <v>0.61111111111111116</v>
      </c>
    </row>
    <row r="14" spans="1:17" ht="30" customHeight="1" x14ac:dyDescent="0.3">
      <c r="A14" s="102">
        <v>45748</v>
      </c>
      <c r="B14" s="96">
        <v>45779</v>
      </c>
      <c r="C14" s="96">
        <v>45810</v>
      </c>
      <c r="D14" s="95" t="s">
        <v>15</v>
      </c>
      <c r="E14" s="95" t="s">
        <v>107</v>
      </c>
      <c r="F14" s="100">
        <v>13</v>
      </c>
      <c r="G14" s="100"/>
      <c r="H14" s="95" t="s">
        <v>73</v>
      </c>
      <c r="I14" s="95" t="s">
        <v>94</v>
      </c>
      <c r="J14" s="95" t="s">
        <v>81</v>
      </c>
      <c r="K14" s="95" t="s">
        <v>82</v>
      </c>
      <c r="L14" s="96">
        <v>45810</v>
      </c>
      <c r="M14" s="250">
        <v>0.58333333333333337</v>
      </c>
      <c r="N14" s="96">
        <v>45810</v>
      </c>
      <c r="O14" s="96" t="s">
        <v>70</v>
      </c>
      <c r="P14" s="95"/>
      <c r="Q14" s="244">
        <f t="shared" si="0"/>
        <v>0.64583333333333337</v>
      </c>
    </row>
    <row r="15" spans="1:17" ht="30" customHeight="1" x14ac:dyDescent="0.3">
      <c r="A15" s="102"/>
      <c r="B15" s="96"/>
      <c r="C15" s="108">
        <v>45810</v>
      </c>
      <c r="D15" s="106" t="s">
        <v>15</v>
      </c>
      <c r="E15" s="106" t="s">
        <v>108</v>
      </c>
      <c r="F15" s="107">
        <v>9</v>
      </c>
      <c r="G15" s="107"/>
      <c r="H15" s="106" t="s">
        <v>74</v>
      </c>
      <c r="I15" s="106" t="s">
        <v>91</v>
      </c>
      <c r="J15" s="106" t="s">
        <v>75</v>
      </c>
      <c r="K15" s="106" t="s">
        <v>76</v>
      </c>
      <c r="L15" s="108">
        <v>45810</v>
      </c>
      <c r="M15" s="246">
        <v>0.35416666666666669</v>
      </c>
      <c r="N15" s="108">
        <v>45810</v>
      </c>
      <c r="O15" s="108" t="s">
        <v>70</v>
      </c>
      <c r="P15" s="106"/>
      <c r="Q15" s="244">
        <f t="shared" si="0"/>
        <v>0.41666666666666669</v>
      </c>
    </row>
    <row r="16" spans="1:17" ht="30" customHeight="1" x14ac:dyDescent="0.3">
      <c r="A16" s="102"/>
      <c r="B16" s="96"/>
      <c r="C16" s="96">
        <v>45811</v>
      </c>
      <c r="D16" s="95" t="s">
        <v>15</v>
      </c>
      <c r="E16" s="95" t="s">
        <v>107</v>
      </c>
      <c r="F16" s="100">
        <v>12</v>
      </c>
      <c r="G16" s="100"/>
      <c r="H16" s="95" t="s">
        <v>73</v>
      </c>
      <c r="I16" s="95" t="s">
        <v>92</v>
      </c>
      <c r="J16" s="95" t="s">
        <v>118</v>
      </c>
      <c r="K16" s="95" t="s">
        <v>119</v>
      </c>
      <c r="L16" s="96">
        <v>45811</v>
      </c>
      <c r="M16" s="250">
        <v>0.52083333333333337</v>
      </c>
      <c r="N16" s="96">
        <v>45811</v>
      </c>
      <c r="O16" s="96" t="s">
        <v>70</v>
      </c>
      <c r="P16" s="95"/>
      <c r="Q16" s="244">
        <f t="shared" si="0"/>
        <v>0.58333333333333337</v>
      </c>
    </row>
    <row r="17" spans="1:17" ht="30" customHeight="1" x14ac:dyDescent="0.3">
      <c r="A17" s="97">
        <v>45749</v>
      </c>
      <c r="B17" s="96">
        <v>45779</v>
      </c>
      <c r="C17" s="96">
        <v>45811</v>
      </c>
      <c r="D17" s="95" t="s">
        <v>15</v>
      </c>
      <c r="E17" s="95" t="s">
        <v>107</v>
      </c>
      <c r="F17" s="100">
        <v>12</v>
      </c>
      <c r="G17" s="100"/>
      <c r="H17" s="95" t="s">
        <v>73</v>
      </c>
      <c r="I17" s="95" t="s">
        <v>103</v>
      </c>
      <c r="J17" s="95" t="s">
        <v>57</v>
      </c>
      <c r="K17" s="95" t="s">
        <v>85</v>
      </c>
      <c r="L17" s="96">
        <v>45811</v>
      </c>
      <c r="M17" s="250">
        <v>0.45833333333333331</v>
      </c>
      <c r="N17" s="96">
        <v>45811</v>
      </c>
      <c r="O17" s="96" t="s">
        <v>70</v>
      </c>
      <c r="P17" s="95"/>
      <c r="Q17" s="244">
        <f t="shared" si="0"/>
        <v>0.52083333333333326</v>
      </c>
    </row>
    <row r="18" spans="1:17" ht="30" customHeight="1" x14ac:dyDescent="0.3">
      <c r="A18" s="97"/>
      <c r="B18" s="96"/>
      <c r="C18" s="108">
        <v>45811</v>
      </c>
      <c r="D18" s="106" t="s">
        <v>15</v>
      </c>
      <c r="E18" s="106" t="s">
        <v>108</v>
      </c>
      <c r="F18" s="107">
        <v>9</v>
      </c>
      <c r="G18" s="107">
        <v>1</v>
      </c>
      <c r="H18" s="106" t="s">
        <v>74</v>
      </c>
      <c r="I18" s="106" t="s">
        <v>91</v>
      </c>
      <c r="J18" s="106" t="s">
        <v>78</v>
      </c>
      <c r="K18" s="106" t="s">
        <v>77</v>
      </c>
      <c r="L18" s="108">
        <v>45811</v>
      </c>
      <c r="M18" s="246">
        <v>0.375</v>
      </c>
      <c r="N18" s="108">
        <v>45811</v>
      </c>
      <c r="O18" s="108" t="s">
        <v>70</v>
      </c>
      <c r="P18" s="106"/>
      <c r="Q18" s="244">
        <f t="shared" si="0"/>
        <v>0.4375</v>
      </c>
    </row>
    <row r="19" spans="1:17" ht="30" customHeight="1" x14ac:dyDescent="0.3">
      <c r="A19" s="97"/>
      <c r="B19" s="96"/>
      <c r="C19" s="108">
        <v>45811</v>
      </c>
      <c r="D19" s="106" t="s">
        <v>15</v>
      </c>
      <c r="E19" s="106" t="s">
        <v>108</v>
      </c>
      <c r="F19" s="107">
        <v>8</v>
      </c>
      <c r="G19" s="107">
        <v>2</v>
      </c>
      <c r="H19" s="106" t="s">
        <v>74</v>
      </c>
      <c r="I19" s="106" t="s">
        <v>91</v>
      </c>
      <c r="J19" s="106" t="s">
        <v>78</v>
      </c>
      <c r="K19" s="106" t="s">
        <v>77</v>
      </c>
      <c r="L19" s="108">
        <v>45811</v>
      </c>
      <c r="M19" s="246">
        <v>0.51041666666666663</v>
      </c>
      <c r="N19" s="108">
        <v>45811</v>
      </c>
      <c r="O19" s="108" t="s">
        <v>70</v>
      </c>
      <c r="P19" s="106"/>
      <c r="Q19" s="244">
        <f t="shared" si="0"/>
        <v>0.57291666666666663</v>
      </c>
    </row>
    <row r="20" spans="1:17" ht="30" customHeight="1" x14ac:dyDescent="0.3">
      <c r="A20" s="96">
        <v>45750</v>
      </c>
      <c r="B20" s="108">
        <v>45782</v>
      </c>
      <c r="C20" s="96">
        <v>45812</v>
      </c>
      <c r="D20" s="95" t="s">
        <v>15</v>
      </c>
      <c r="E20" s="95" t="s">
        <v>107</v>
      </c>
      <c r="F20" s="100">
        <v>12</v>
      </c>
      <c r="G20" s="100"/>
      <c r="H20" s="95" t="s">
        <v>73</v>
      </c>
      <c r="I20" s="95" t="s">
        <v>104</v>
      </c>
      <c r="J20" s="95" t="s">
        <v>86</v>
      </c>
      <c r="K20" s="95" t="s">
        <v>87</v>
      </c>
      <c r="L20" s="96">
        <v>45812</v>
      </c>
      <c r="M20" s="250">
        <v>0.40625</v>
      </c>
      <c r="N20" s="96">
        <v>45812</v>
      </c>
      <c r="O20" s="96" t="s">
        <v>70</v>
      </c>
      <c r="P20" s="95"/>
      <c r="Q20" s="244">
        <f t="shared" si="0"/>
        <v>0.46875</v>
      </c>
    </row>
    <row r="21" spans="1:17" ht="30" customHeight="1" x14ac:dyDescent="0.3">
      <c r="A21" s="96"/>
      <c r="B21" s="108"/>
      <c r="C21" s="96">
        <v>45812</v>
      </c>
      <c r="D21" s="95" t="s">
        <v>15</v>
      </c>
      <c r="E21" s="95" t="s">
        <v>107</v>
      </c>
      <c r="F21" s="100">
        <v>11</v>
      </c>
      <c r="G21" s="100"/>
      <c r="H21" s="95" t="s">
        <v>73</v>
      </c>
      <c r="I21" s="95" t="s">
        <v>93</v>
      </c>
      <c r="J21" s="95" t="s">
        <v>79</v>
      </c>
      <c r="K21" s="95" t="s">
        <v>80</v>
      </c>
      <c r="L21" s="96">
        <v>45812</v>
      </c>
      <c r="M21" s="250">
        <v>0.35416666666666669</v>
      </c>
      <c r="N21" s="96">
        <v>45812</v>
      </c>
      <c r="O21" s="96" t="s">
        <v>70</v>
      </c>
      <c r="P21" s="95"/>
      <c r="Q21" s="244">
        <f t="shared" si="0"/>
        <v>0.41666666666666669</v>
      </c>
    </row>
    <row r="22" spans="1:17" ht="30" customHeight="1" x14ac:dyDescent="0.3">
      <c r="A22" s="96"/>
      <c r="B22" s="108"/>
      <c r="C22" s="108">
        <v>45812</v>
      </c>
      <c r="D22" s="106" t="s">
        <v>15</v>
      </c>
      <c r="E22" s="106" t="s">
        <v>108</v>
      </c>
      <c r="F22" s="107">
        <v>9</v>
      </c>
      <c r="G22" s="107">
        <v>1</v>
      </c>
      <c r="H22" s="106" t="s">
        <v>74</v>
      </c>
      <c r="I22" s="106" t="s">
        <v>91</v>
      </c>
      <c r="J22" s="106" t="s">
        <v>61</v>
      </c>
      <c r="K22" s="106" t="s">
        <v>58</v>
      </c>
      <c r="L22" s="108">
        <v>45812</v>
      </c>
      <c r="M22" s="246">
        <v>0.375</v>
      </c>
      <c r="N22" s="108">
        <v>45812</v>
      </c>
      <c r="O22" s="108" t="s">
        <v>70</v>
      </c>
      <c r="P22" s="106"/>
      <c r="Q22" s="244">
        <f t="shared" si="0"/>
        <v>0.4375</v>
      </c>
    </row>
    <row r="23" spans="1:17" ht="30" customHeight="1" x14ac:dyDescent="0.3">
      <c r="A23" s="96"/>
      <c r="B23" s="108"/>
      <c r="C23" s="108">
        <v>45812</v>
      </c>
      <c r="D23" s="106" t="s">
        <v>15</v>
      </c>
      <c r="E23" s="106" t="s">
        <v>108</v>
      </c>
      <c r="F23" s="107">
        <v>9</v>
      </c>
      <c r="G23" s="107">
        <v>2</v>
      </c>
      <c r="H23" s="106" t="s">
        <v>74</v>
      </c>
      <c r="I23" s="106" t="s">
        <v>91</v>
      </c>
      <c r="J23" s="106" t="s">
        <v>61</v>
      </c>
      <c r="K23" s="106" t="s">
        <v>58</v>
      </c>
      <c r="L23" s="108">
        <v>45812</v>
      </c>
      <c r="M23" s="246">
        <v>0.52083333333333337</v>
      </c>
      <c r="N23" s="108">
        <v>45812</v>
      </c>
      <c r="O23" s="108" t="s">
        <v>70</v>
      </c>
      <c r="P23" s="106"/>
      <c r="Q23" s="244">
        <f t="shared" si="0"/>
        <v>0.58333333333333337</v>
      </c>
    </row>
    <row r="24" spans="1:17" ht="30" customHeight="1" x14ac:dyDescent="0.3">
      <c r="A24" s="96"/>
      <c r="B24" s="108"/>
      <c r="C24" s="108">
        <v>45813</v>
      </c>
      <c r="D24" s="106" t="s">
        <v>15</v>
      </c>
      <c r="E24" s="106" t="s">
        <v>108</v>
      </c>
      <c r="F24" s="107">
        <v>10</v>
      </c>
      <c r="G24" s="107"/>
      <c r="H24" s="106" t="s">
        <v>74</v>
      </c>
      <c r="I24" s="106" t="s">
        <v>91</v>
      </c>
      <c r="J24" s="106" t="s">
        <v>62</v>
      </c>
      <c r="K24" s="106" t="s">
        <v>59</v>
      </c>
      <c r="L24" s="108">
        <v>45813</v>
      </c>
      <c r="M24" s="247">
        <v>0.35416666666666669</v>
      </c>
      <c r="N24" s="108">
        <v>45813</v>
      </c>
      <c r="O24" s="108" t="s">
        <v>70</v>
      </c>
      <c r="P24" s="106"/>
      <c r="Q24" s="244">
        <f t="shared" si="0"/>
        <v>0.41666666666666669</v>
      </c>
    </row>
    <row r="25" spans="1:17" ht="30" customHeight="1" x14ac:dyDescent="0.3">
      <c r="A25" s="96">
        <v>45750</v>
      </c>
      <c r="B25" s="96">
        <v>45782</v>
      </c>
      <c r="C25" s="96">
        <v>45814</v>
      </c>
      <c r="D25" s="95" t="s">
        <v>15</v>
      </c>
      <c r="E25" s="95" t="s">
        <v>107</v>
      </c>
      <c r="F25" s="100">
        <v>13</v>
      </c>
      <c r="G25" s="100"/>
      <c r="H25" s="95" t="s">
        <v>73</v>
      </c>
      <c r="I25" s="95" t="s">
        <v>95</v>
      </c>
      <c r="J25" s="95" t="s">
        <v>56</v>
      </c>
      <c r="K25" s="95" t="s">
        <v>83</v>
      </c>
      <c r="L25" s="96">
        <v>45814</v>
      </c>
      <c r="M25" s="250">
        <v>0.51388888888888884</v>
      </c>
      <c r="N25" s="96">
        <v>45814</v>
      </c>
      <c r="O25" s="96" t="s">
        <v>70</v>
      </c>
      <c r="P25" s="95"/>
      <c r="Q25" s="244">
        <f t="shared" si="0"/>
        <v>0.57638888888888884</v>
      </c>
    </row>
    <row r="26" spans="1:17" ht="30" customHeight="1" x14ac:dyDescent="0.3">
      <c r="A26" s="96">
        <v>45750</v>
      </c>
      <c r="B26" s="96">
        <v>45783</v>
      </c>
      <c r="C26" s="96">
        <v>45814</v>
      </c>
      <c r="D26" s="95" t="s">
        <v>15</v>
      </c>
      <c r="E26" s="95" t="s">
        <v>107</v>
      </c>
      <c r="F26" s="100">
        <v>13</v>
      </c>
      <c r="G26" s="100"/>
      <c r="H26" s="95" t="s">
        <v>73</v>
      </c>
      <c r="I26" s="95" t="s">
        <v>92</v>
      </c>
      <c r="J26" s="95" t="s">
        <v>118</v>
      </c>
      <c r="K26" s="95" t="s">
        <v>119</v>
      </c>
      <c r="L26" s="96">
        <v>45814</v>
      </c>
      <c r="M26" s="250">
        <v>0.52083333333333337</v>
      </c>
      <c r="N26" s="96">
        <v>45814</v>
      </c>
      <c r="O26" s="96" t="s">
        <v>70</v>
      </c>
      <c r="P26" s="95"/>
      <c r="Q26" s="244">
        <f t="shared" si="0"/>
        <v>0.58333333333333337</v>
      </c>
    </row>
    <row r="27" spans="1:17" ht="30" customHeight="1" x14ac:dyDescent="0.3">
      <c r="A27" s="96">
        <v>45754</v>
      </c>
      <c r="B27" s="96">
        <v>45783</v>
      </c>
      <c r="C27" s="96">
        <v>45814</v>
      </c>
      <c r="D27" s="95" t="s">
        <v>15</v>
      </c>
      <c r="E27" s="95" t="s">
        <v>107</v>
      </c>
      <c r="F27" s="100">
        <v>12</v>
      </c>
      <c r="G27" s="100"/>
      <c r="H27" s="95" t="s">
        <v>73</v>
      </c>
      <c r="I27" s="95" t="s">
        <v>90</v>
      </c>
      <c r="J27" s="95" t="s">
        <v>55</v>
      </c>
      <c r="K27" s="95" t="s">
        <v>63</v>
      </c>
      <c r="L27" s="96">
        <v>45814</v>
      </c>
      <c r="M27" s="250">
        <v>0.58333333333333337</v>
      </c>
      <c r="N27" s="96">
        <v>45814</v>
      </c>
      <c r="O27" s="96" t="s">
        <v>70</v>
      </c>
      <c r="P27" s="95"/>
      <c r="Q27" s="244">
        <f t="shared" si="0"/>
        <v>0.64583333333333337</v>
      </c>
    </row>
    <row r="28" spans="1:17" ht="30" customHeight="1" x14ac:dyDescent="0.3">
      <c r="A28" s="96"/>
      <c r="B28" s="96"/>
      <c r="C28" s="96">
        <v>45814</v>
      </c>
      <c r="D28" s="95" t="s">
        <v>15</v>
      </c>
      <c r="E28" s="95" t="s">
        <v>107</v>
      </c>
      <c r="F28" s="100">
        <v>12</v>
      </c>
      <c r="G28" s="100"/>
      <c r="H28" s="95" t="s">
        <v>73</v>
      </c>
      <c r="I28" s="95" t="s">
        <v>93</v>
      </c>
      <c r="J28" s="95" t="s">
        <v>79</v>
      </c>
      <c r="K28" s="95" t="s">
        <v>80</v>
      </c>
      <c r="L28" s="96">
        <v>45814</v>
      </c>
      <c r="M28" s="250">
        <v>0.35416666666666669</v>
      </c>
      <c r="N28" s="96">
        <v>45814</v>
      </c>
      <c r="O28" s="96" t="s">
        <v>70</v>
      </c>
      <c r="P28" s="95"/>
      <c r="Q28" s="244">
        <f t="shared" si="0"/>
        <v>0.41666666666666669</v>
      </c>
    </row>
    <row r="29" spans="1:17" ht="30" customHeight="1" x14ac:dyDescent="0.3">
      <c r="A29" s="96"/>
      <c r="B29" s="96"/>
      <c r="C29" s="96">
        <v>45814</v>
      </c>
      <c r="D29" s="95" t="s">
        <v>15</v>
      </c>
      <c r="E29" s="95" t="s">
        <v>107</v>
      </c>
      <c r="F29" s="100">
        <v>13</v>
      </c>
      <c r="G29" s="100"/>
      <c r="H29" s="95" t="s">
        <v>73</v>
      </c>
      <c r="I29" s="95" t="s">
        <v>103</v>
      </c>
      <c r="J29" s="95" t="s">
        <v>57</v>
      </c>
      <c r="K29" s="95" t="s">
        <v>85</v>
      </c>
      <c r="L29" s="96">
        <v>45814</v>
      </c>
      <c r="M29" s="250">
        <v>0.45833333333333331</v>
      </c>
      <c r="N29" s="96">
        <v>45814</v>
      </c>
      <c r="O29" s="96" t="s">
        <v>70</v>
      </c>
      <c r="P29" s="95"/>
      <c r="Q29" s="244">
        <f t="shared" si="0"/>
        <v>0.52083333333333326</v>
      </c>
    </row>
    <row r="30" spans="1:17" ht="30" customHeight="1" x14ac:dyDescent="0.3">
      <c r="A30" s="96">
        <v>45754</v>
      </c>
      <c r="B30" s="96">
        <v>45784</v>
      </c>
      <c r="C30" s="96">
        <v>45817</v>
      </c>
      <c r="D30" s="95" t="s">
        <v>15</v>
      </c>
      <c r="E30" s="95" t="s">
        <v>107</v>
      </c>
      <c r="F30" s="100">
        <v>14</v>
      </c>
      <c r="G30" s="100"/>
      <c r="H30" s="95" t="s">
        <v>73</v>
      </c>
      <c r="I30" s="95" t="s">
        <v>95</v>
      </c>
      <c r="J30" s="95" t="s">
        <v>56</v>
      </c>
      <c r="K30" s="95" t="s">
        <v>83</v>
      </c>
      <c r="L30" s="96">
        <v>45817</v>
      </c>
      <c r="M30" s="250">
        <v>0.47916666666666669</v>
      </c>
      <c r="N30" s="96">
        <v>45817</v>
      </c>
      <c r="O30" s="96" t="s">
        <v>70</v>
      </c>
      <c r="P30" s="95"/>
      <c r="Q30" s="244">
        <f t="shared" si="0"/>
        <v>0.54166666666666674</v>
      </c>
    </row>
    <row r="31" spans="1:17" ht="30" customHeight="1" x14ac:dyDescent="0.3">
      <c r="A31" s="96">
        <v>45754</v>
      </c>
      <c r="B31" s="96">
        <v>45784</v>
      </c>
      <c r="C31" s="96">
        <v>45817</v>
      </c>
      <c r="D31" s="95" t="s">
        <v>15</v>
      </c>
      <c r="E31" s="95" t="s">
        <v>107</v>
      </c>
      <c r="F31" s="100">
        <v>13</v>
      </c>
      <c r="G31" s="100"/>
      <c r="H31" s="95" t="s">
        <v>73</v>
      </c>
      <c r="I31" s="95" t="s">
        <v>90</v>
      </c>
      <c r="J31" s="95" t="s">
        <v>270</v>
      </c>
      <c r="K31" s="95" t="s">
        <v>271</v>
      </c>
      <c r="L31" s="108">
        <v>45817</v>
      </c>
      <c r="M31" s="250">
        <v>0.54861111111111116</v>
      </c>
      <c r="N31" s="96">
        <v>45817</v>
      </c>
      <c r="O31" s="96" t="s">
        <v>70</v>
      </c>
      <c r="P31" s="95"/>
      <c r="Q31" s="244">
        <f t="shared" si="0"/>
        <v>0.61111111111111116</v>
      </c>
    </row>
    <row r="32" spans="1:17" ht="30" customHeight="1" x14ac:dyDescent="0.3">
      <c r="A32" s="96">
        <v>45755</v>
      </c>
      <c r="B32" s="96">
        <v>45784</v>
      </c>
      <c r="C32" s="96">
        <v>45817</v>
      </c>
      <c r="D32" s="95" t="s">
        <v>15</v>
      </c>
      <c r="E32" s="95" t="s">
        <v>107</v>
      </c>
      <c r="F32" s="100">
        <v>13</v>
      </c>
      <c r="G32" s="100"/>
      <c r="H32" s="95" t="s">
        <v>73</v>
      </c>
      <c r="I32" s="95" t="s">
        <v>93</v>
      </c>
      <c r="J32" s="95" t="s">
        <v>79</v>
      </c>
      <c r="K32" s="95" t="s">
        <v>80</v>
      </c>
      <c r="L32" s="96">
        <v>45817</v>
      </c>
      <c r="M32" s="250">
        <v>0.35416666666666669</v>
      </c>
      <c r="N32" s="96">
        <v>45817</v>
      </c>
      <c r="O32" s="96" t="s">
        <v>70</v>
      </c>
      <c r="P32" s="95"/>
      <c r="Q32" s="244">
        <f t="shared" si="0"/>
        <v>0.41666666666666669</v>
      </c>
    </row>
    <row r="33" spans="1:17" ht="30" customHeight="1" x14ac:dyDescent="0.3">
      <c r="A33" s="96"/>
      <c r="B33" s="96"/>
      <c r="C33" s="96">
        <v>45817</v>
      </c>
      <c r="D33" s="95" t="s">
        <v>15</v>
      </c>
      <c r="E33" s="95" t="s">
        <v>107</v>
      </c>
      <c r="F33" s="100">
        <v>14</v>
      </c>
      <c r="G33" s="100"/>
      <c r="H33" s="95" t="s">
        <v>73</v>
      </c>
      <c r="I33" s="95" t="s">
        <v>103</v>
      </c>
      <c r="J33" s="95" t="s">
        <v>57</v>
      </c>
      <c r="K33" s="95" t="s">
        <v>85</v>
      </c>
      <c r="L33" s="96">
        <v>45817</v>
      </c>
      <c r="M33" s="250">
        <v>0.45833333333333331</v>
      </c>
      <c r="N33" s="96">
        <v>45817</v>
      </c>
      <c r="O33" s="96" t="s">
        <v>70</v>
      </c>
      <c r="P33" s="95"/>
      <c r="Q33" s="244">
        <f t="shared" si="0"/>
        <v>0.52083333333333326</v>
      </c>
    </row>
    <row r="34" spans="1:17" ht="30" customHeight="1" x14ac:dyDescent="0.3">
      <c r="A34" s="96"/>
      <c r="B34" s="96"/>
      <c r="C34" s="108">
        <v>45817</v>
      </c>
      <c r="D34" s="106" t="s">
        <v>15</v>
      </c>
      <c r="E34" s="106" t="s">
        <v>108</v>
      </c>
      <c r="F34" s="107">
        <v>10</v>
      </c>
      <c r="G34" s="107"/>
      <c r="H34" s="106" t="s">
        <v>74</v>
      </c>
      <c r="I34" s="106" t="s">
        <v>91</v>
      </c>
      <c r="J34" s="106" t="s">
        <v>75</v>
      </c>
      <c r="K34" s="106" t="s">
        <v>76</v>
      </c>
      <c r="L34" s="108">
        <v>45817</v>
      </c>
      <c r="M34" s="246">
        <v>0.35416666666666669</v>
      </c>
      <c r="N34" s="108">
        <v>45817</v>
      </c>
      <c r="O34" s="108" t="s">
        <v>70</v>
      </c>
      <c r="P34" s="106"/>
      <c r="Q34" s="244">
        <f t="shared" si="0"/>
        <v>0.41666666666666669</v>
      </c>
    </row>
    <row r="35" spans="1:17" ht="30" customHeight="1" x14ac:dyDescent="0.3">
      <c r="A35" s="96"/>
      <c r="B35" s="96"/>
      <c r="C35" s="96">
        <v>45818</v>
      </c>
      <c r="D35" s="95" t="s">
        <v>15</v>
      </c>
      <c r="E35" s="95" t="s">
        <v>107</v>
      </c>
      <c r="F35" s="100">
        <v>14</v>
      </c>
      <c r="G35" s="100"/>
      <c r="H35" s="95" t="s">
        <v>73</v>
      </c>
      <c r="I35" s="95" t="s">
        <v>92</v>
      </c>
      <c r="J35" s="95" t="s">
        <v>118</v>
      </c>
      <c r="K35" s="95" t="s">
        <v>119</v>
      </c>
      <c r="L35" s="96">
        <v>45818</v>
      </c>
      <c r="M35" s="250">
        <v>0.52083333333333337</v>
      </c>
      <c r="N35" s="96">
        <v>45818</v>
      </c>
      <c r="O35" s="96" t="s">
        <v>70</v>
      </c>
      <c r="P35" s="95"/>
      <c r="Q35" s="244">
        <f t="shared" si="0"/>
        <v>0.58333333333333337</v>
      </c>
    </row>
    <row r="36" spans="1:17" ht="42.75" customHeight="1" x14ac:dyDescent="0.3">
      <c r="A36" s="96">
        <v>45755</v>
      </c>
      <c r="B36" s="96">
        <v>45784</v>
      </c>
      <c r="C36" s="96">
        <v>45818</v>
      </c>
      <c r="D36" s="95" t="s">
        <v>15</v>
      </c>
      <c r="E36" s="95" t="s">
        <v>107</v>
      </c>
      <c r="F36" s="100">
        <v>14</v>
      </c>
      <c r="G36" s="100"/>
      <c r="H36" s="95" t="s">
        <v>73</v>
      </c>
      <c r="I36" s="95" t="s">
        <v>94</v>
      </c>
      <c r="J36" s="95" t="s">
        <v>81</v>
      </c>
      <c r="K36" s="95" t="s">
        <v>82</v>
      </c>
      <c r="L36" s="96">
        <v>45818</v>
      </c>
      <c r="M36" s="250">
        <v>0.55208333333333337</v>
      </c>
      <c r="N36" s="96">
        <v>45818</v>
      </c>
      <c r="O36" s="96" t="s">
        <v>70</v>
      </c>
      <c r="P36" s="95"/>
      <c r="Q36" s="244">
        <f t="shared" si="0"/>
        <v>0.61458333333333337</v>
      </c>
    </row>
    <row r="37" spans="1:17" ht="42.75" customHeight="1" x14ac:dyDescent="0.3">
      <c r="A37" s="96"/>
      <c r="B37" s="96"/>
      <c r="C37" s="108">
        <v>45818</v>
      </c>
      <c r="D37" s="106" t="s">
        <v>15</v>
      </c>
      <c r="E37" s="106" t="s">
        <v>108</v>
      </c>
      <c r="F37" s="107">
        <v>10</v>
      </c>
      <c r="G37" s="107">
        <v>1</v>
      </c>
      <c r="H37" s="106" t="s">
        <v>74</v>
      </c>
      <c r="I37" s="106" t="s">
        <v>91</v>
      </c>
      <c r="J37" s="106" t="s">
        <v>78</v>
      </c>
      <c r="K37" s="106" t="s">
        <v>77</v>
      </c>
      <c r="L37" s="108">
        <v>45818</v>
      </c>
      <c r="M37" s="246">
        <v>0.375</v>
      </c>
      <c r="N37" s="108">
        <v>45818</v>
      </c>
      <c r="O37" s="108" t="s">
        <v>70</v>
      </c>
      <c r="P37" s="106"/>
      <c r="Q37" s="244">
        <f t="shared" si="0"/>
        <v>0.4375</v>
      </c>
    </row>
    <row r="38" spans="1:17" ht="42.75" customHeight="1" x14ac:dyDescent="0.3">
      <c r="A38" s="96"/>
      <c r="B38" s="96"/>
      <c r="C38" s="108">
        <v>45818</v>
      </c>
      <c r="D38" s="106" t="s">
        <v>15</v>
      </c>
      <c r="E38" s="106" t="s">
        <v>108</v>
      </c>
      <c r="F38" s="107">
        <v>9</v>
      </c>
      <c r="G38" s="107">
        <v>2</v>
      </c>
      <c r="H38" s="106" t="s">
        <v>74</v>
      </c>
      <c r="I38" s="106" t="s">
        <v>91</v>
      </c>
      <c r="J38" s="106" t="s">
        <v>78</v>
      </c>
      <c r="K38" s="106" t="s">
        <v>77</v>
      </c>
      <c r="L38" s="108">
        <v>45818</v>
      </c>
      <c r="M38" s="246">
        <v>0.51041666666666663</v>
      </c>
      <c r="N38" s="108">
        <v>45818</v>
      </c>
      <c r="O38" s="108" t="s">
        <v>70</v>
      </c>
      <c r="P38" s="106"/>
      <c r="Q38" s="244">
        <f t="shared" si="0"/>
        <v>0.57291666666666663</v>
      </c>
    </row>
    <row r="39" spans="1:17" ht="42.75" customHeight="1" x14ac:dyDescent="0.3">
      <c r="A39" s="96"/>
      <c r="B39" s="96"/>
      <c r="C39" s="96">
        <v>45819</v>
      </c>
      <c r="D39" s="95" t="s">
        <v>15</v>
      </c>
      <c r="E39" s="95" t="s">
        <v>107</v>
      </c>
      <c r="F39" s="100">
        <v>15</v>
      </c>
      <c r="G39" s="100"/>
      <c r="H39" s="95" t="s">
        <v>73</v>
      </c>
      <c r="I39" s="95" t="s">
        <v>94</v>
      </c>
      <c r="J39" s="95" t="s">
        <v>81</v>
      </c>
      <c r="K39" s="95" t="s">
        <v>82</v>
      </c>
      <c r="L39" s="96">
        <v>45819</v>
      </c>
      <c r="M39" s="250">
        <v>0.64583333333333337</v>
      </c>
      <c r="N39" s="96">
        <v>45819</v>
      </c>
      <c r="O39" s="96" t="s">
        <v>70</v>
      </c>
      <c r="P39" s="95"/>
      <c r="Q39" s="244">
        <f t="shared" si="0"/>
        <v>0.70833333333333337</v>
      </c>
    </row>
    <row r="40" spans="1:17" ht="42.75" customHeight="1" x14ac:dyDescent="0.3">
      <c r="A40" s="96"/>
      <c r="B40" s="96"/>
      <c r="C40" s="96">
        <v>45819</v>
      </c>
      <c r="D40" s="95" t="s">
        <v>15</v>
      </c>
      <c r="E40" s="95" t="s">
        <v>107</v>
      </c>
      <c r="F40" s="100">
        <v>13</v>
      </c>
      <c r="G40" s="100"/>
      <c r="H40" s="95" t="s">
        <v>73</v>
      </c>
      <c r="I40" s="95" t="s">
        <v>104</v>
      </c>
      <c r="J40" s="95" t="s">
        <v>86</v>
      </c>
      <c r="K40" s="95" t="s">
        <v>87</v>
      </c>
      <c r="L40" s="96">
        <v>45819</v>
      </c>
      <c r="M40" s="250">
        <v>0.39583333333333331</v>
      </c>
      <c r="N40" s="96">
        <v>45819</v>
      </c>
      <c r="O40" s="96" t="s">
        <v>70</v>
      </c>
      <c r="P40" s="95"/>
      <c r="Q40" s="244">
        <f t="shared" si="0"/>
        <v>0.45833333333333331</v>
      </c>
    </row>
    <row r="41" spans="1:17" ht="42.75" customHeight="1" x14ac:dyDescent="0.3">
      <c r="A41" s="96"/>
      <c r="B41" s="96"/>
      <c r="C41" s="96">
        <v>45819</v>
      </c>
      <c r="D41" s="95" t="s">
        <v>15</v>
      </c>
      <c r="E41" s="95" t="s">
        <v>107</v>
      </c>
      <c r="F41" s="100">
        <v>14</v>
      </c>
      <c r="G41" s="100"/>
      <c r="H41" s="95" t="s">
        <v>73</v>
      </c>
      <c r="I41" s="95" t="s">
        <v>93</v>
      </c>
      <c r="J41" s="95" t="s">
        <v>79</v>
      </c>
      <c r="K41" s="95" t="s">
        <v>80</v>
      </c>
      <c r="L41" s="96">
        <v>45819</v>
      </c>
      <c r="M41" s="250">
        <v>0.35416666666666669</v>
      </c>
      <c r="N41" s="96">
        <v>45819</v>
      </c>
      <c r="O41" s="96" t="s">
        <v>70</v>
      </c>
      <c r="P41" s="95"/>
      <c r="Q41" s="244">
        <f t="shared" si="0"/>
        <v>0.41666666666666669</v>
      </c>
    </row>
    <row r="42" spans="1:17" ht="42.75" customHeight="1" x14ac:dyDescent="0.3">
      <c r="A42" s="96"/>
      <c r="B42" s="96"/>
      <c r="C42" s="108">
        <v>45819</v>
      </c>
      <c r="D42" s="106" t="s">
        <v>15</v>
      </c>
      <c r="E42" s="106" t="s">
        <v>108</v>
      </c>
      <c r="F42" s="107">
        <v>10</v>
      </c>
      <c r="G42" s="107">
        <v>1</v>
      </c>
      <c r="H42" s="106" t="s">
        <v>74</v>
      </c>
      <c r="I42" s="106" t="s">
        <v>91</v>
      </c>
      <c r="J42" s="106" t="s">
        <v>61</v>
      </c>
      <c r="K42" s="106" t="s">
        <v>58</v>
      </c>
      <c r="L42" s="108">
        <v>45819</v>
      </c>
      <c r="M42" s="246">
        <v>0.375</v>
      </c>
      <c r="N42" s="108">
        <v>45819</v>
      </c>
      <c r="O42" s="108" t="s">
        <v>70</v>
      </c>
      <c r="P42" s="106"/>
      <c r="Q42" s="244">
        <f t="shared" si="0"/>
        <v>0.4375</v>
      </c>
    </row>
    <row r="43" spans="1:17" ht="42.75" customHeight="1" x14ac:dyDescent="0.3">
      <c r="A43" s="96"/>
      <c r="B43" s="96"/>
      <c r="C43" s="108">
        <v>45819</v>
      </c>
      <c r="D43" s="106" t="s">
        <v>15</v>
      </c>
      <c r="E43" s="106" t="s">
        <v>108</v>
      </c>
      <c r="F43" s="107">
        <v>10</v>
      </c>
      <c r="G43" s="107">
        <v>2</v>
      </c>
      <c r="H43" s="106" t="s">
        <v>74</v>
      </c>
      <c r="I43" s="106" t="s">
        <v>91</v>
      </c>
      <c r="J43" s="106" t="s">
        <v>61</v>
      </c>
      <c r="K43" s="106" t="s">
        <v>58</v>
      </c>
      <c r="L43" s="108">
        <v>45819</v>
      </c>
      <c r="M43" s="246">
        <v>0.52083333333333337</v>
      </c>
      <c r="N43" s="108">
        <v>45819</v>
      </c>
      <c r="O43" s="108" t="s">
        <v>70</v>
      </c>
      <c r="P43" s="106"/>
      <c r="Q43" s="244">
        <f t="shared" si="0"/>
        <v>0.58333333333333337</v>
      </c>
    </row>
    <row r="44" spans="1:17" ht="42.75" customHeight="1" x14ac:dyDescent="0.3">
      <c r="A44" s="96"/>
      <c r="B44" s="96"/>
      <c r="C44" s="101">
        <v>45820</v>
      </c>
      <c r="D44" s="106" t="s">
        <v>15</v>
      </c>
      <c r="E44" s="106" t="s">
        <v>107</v>
      </c>
      <c r="F44" s="107">
        <v>15</v>
      </c>
      <c r="G44" s="107"/>
      <c r="H44" s="106" t="s">
        <v>73</v>
      </c>
      <c r="I44" s="106" t="s">
        <v>92</v>
      </c>
      <c r="J44" s="106" t="s">
        <v>118</v>
      </c>
      <c r="K44" s="106" t="s">
        <v>119</v>
      </c>
      <c r="L44" s="108">
        <v>45820</v>
      </c>
      <c r="M44" s="246">
        <v>0.52083333333333337</v>
      </c>
      <c r="N44" s="108">
        <v>45820</v>
      </c>
      <c r="O44" s="108" t="s">
        <v>70</v>
      </c>
      <c r="P44" s="106"/>
      <c r="Q44" s="244">
        <f t="shared" si="0"/>
        <v>0.58333333333333337</v>
      </c>
    </row>
    <row r="45" spans="1:17" ht="30" customHeight="1" x14ac:dyDescent="0.3">
      <c r="A45" s="96">
        <v>45755</v>
      </c>
      <c r="B45" s="108">
        <v>45784</v>
      </c>
      <c r="C45" s="96">
        <v>45820</v>
      </c>
      <c r="D45" s="95" t="s">
        <v>15</v>
      </c>
      <c r="E45" s="95" t="s">
        <v>107</v>
      </c>
      <c r="F45" s="100">
        <v>15</v>
      </c>
      <c r="G45" s="100"/>
      <c r="H45" s="95" t="s">
        <v>73</v>
      </c>
      <c r="I45" s="95" t="s">
        <v>95</v>
      </c>
      <c r="J45" s="95" t="s">
        <v>56</v>
      </c>
      <c r="K45" s="95" t="s">
        <v>83</v>
      </c>
      <c r="L45" s="96">
        <v>45820</v>
      </c>
      <c r="M45" s="250">
        <v>0.51388888888888884</v>
      </c>
      <c r="N45" s="96">
        <v>45820</v>
      </c>
      <c r="O45" s="96" t="s">
        <v>70</v>
      </c>
      <c r="P45" s="95"/>
      <c r="Q45" s="244">
        <f t="shared" si="0"/>
        <v>0.57638888888888884</v>
      </c>
    </row>
    <row r="46" spans="1:17" ht="30" customHeight="1" x14ac:dyDescent="0.3">
      <c r="A46" s="96"/>
      <c r="B46" s="108"/>
      <c r="C46" s="96">
        <v>45820</v>
      </c>
      <c r="D46" s="95" t="s">
        <v>15</v>
      </c>
      <c r="E46" s="95" t="s">
        <v>107</v>
      </c>
      <c r="F46" s="100">
        <v>14</v>
      </c>
      <c r="G46" s="100"/>
      <c r="H46" s="95" t="s">
        <v>73</v>
      </c>
      <c r="I46" s="95" t="s">
        <v>90</v>
      </c>
      <c r="J46" s="95" t="s">
        <v>55</v>
      </c>
      <c r="K46" s="95" t="s">
        <v>63</v>
      </c>
      <c r="L46" s="96">
        <v>45820</v>
      </c>
      <c r="M46" s="250">
        <v>0.58333333333333337</v>
      </c>
      <c r="N46" s="96">
        <v>45820</v>
      </c>
      <c r="O46" s="96" t="s">
        <v>70</v>
      </c>
      <c r="P46" s="95"/>
      <c r="Q46" s="244">
        <f t="shared" si="0"/>
        <v>0.64583333333333337</v>
      </c>
    </row>
    <row r="47" spans="1:17" ht="30" customHeight="1" x14ac:dyDescent="0.3">
      <c r="A47" s="96"/>
      <c r="B47" s="108"/>
      <c r="C47" s="96">
        <v>45820</v>
      </c>
      <c r="D47" s="95" t="s">
        <v>15</v>
      </c>
      <c r="E47" s="95" t="s">
        <v>107</v>
      </c>
      <c r="F47" s="100">
        <v>14</v>
      </c>
      <c r="G47" s="100"/>
      <c r="H47" s="95" t="s">
        <v>73</v>
      </c>
      <c r="I47" s="95" t="s">
        <v>104</v>
      </c>
      <c r="J47" s="95" t="s">
        <v>86</v>
      </c>
      <c r="K47" s="95" t="s">
        <v>87</v>
      </c>
      <c r="L47" s="96">
        <v>45820</v>
      </c>
      <c r="M47" s="250">
        <v>0.60416666666666663</v>
      </c>
      <c r="N47" s="96">
        <v>45820</v>
      </c>
      <c r="O47" s="96" t="s">
        <v>70</v>
      </c>
      <c r="P47" s="95"/>
      <c r="Q47" s="244">
        <f t="shared" si="0"/>
        <v>0.66666666666666663</v>
      </c>
    </row>
    <row r="48" spans="1:17" ht="30" customHeight="1" x14ac:dyDescent="0.3">
      <c r="A48" s="96"/>
      <c r="B48" s="108"/>
      <c r="C48" s="96">
        <v>45820</v>
      </c>
      <c r="D48" s="95" t="s">
        <v>15</v>
      </c>
      <c r="E48" s="95" t="s">
        <v>107</v>
      </c>
      <c r="F48" s="100">
        <v>15</v>
      </c>
      <c r="G48" s="100"/>
      <c r="H48" s="95" t="s">
        <v>73</v>
      </c>
      <c r="I48" s="95" t="s">
        <v>103</v>
      </c>
      <c r="J48" s="95" t="s">
        <v>57</v>
      </c>
      <c r="K48" s="95" t="s">
        <v>85</v>
      </c>
      <c r="L48" s="96">
        <v>45820</v>
      </c>
      <c r="M48" s="250">
        <v>0.45833333333333331</v>
      </c>
      <c r="N48" s="96">
        <v>45820</v>
      </c>
      <c r="O48" s="96" t="s">
        <v>70</v>
      </c>
      <c r="P48" s="95"/>
      <c r="Q48" s="244">
        <f t="shared" si="0"/>
        <v>0.52083333333333326</v>
      </c>
    </row>
    <row r="49" spans="1:17" ht="36.75" customHeight="1" x14ac:dyDescent="0.3">
      <c r="A49" s="96"/>
      <c r="B49" s="108"/>
      <c r="C49" s="108">
        <v>45820</v>
      </c>
      <c r="D49" s="210" t="s">
        <v>15</v>
      </c>
      <c r="E49" s="210" t="s">
        <v>108</v>
      </c>
      <c r="F49" s="205">
        <v>11</v>
      </c>
      <c r="G49" s="205"/>
      <c r="H49" s="210" t="s">
        <v>74</v>
      </c>
      <c r="I49" s="210" t="s">
        <v>91</v>
      </c>
      <c r="J49" s="210" t="s">
        <v>62</v>
      </c>
      <c r="K49" s="210" t="s">
        <v>59</v>
      </c>
      <c r="L49" s="206">
        <v>45820</v>
      </c>
      <c r="M49" s="254">
        <v>0.35416666666666669</v>
      </c>
      <c r="N49" s="206">
        <v>45820</v>
      </c>
      <c r="O49" s="206" t="s">
        <v>70</v>
      </c>
      <c r="P49" s="210" t="s">
        <v>277</v>
      </c>
      <c r="Q49" s="244">
        <f t="shared" si="0"/>
        <v>0.41666666666666669</v>
      </c>
    </row>
    <row r="50" spans="1:17" ht="30" customHeight="1" x14ac:dyDescent="0.3">
      <c r="A50" s="96"/>
      <c r="B50" s="108"/>
      <c r="C50" s="96">
        <v>45821</v>
      </c>
      <c r="D50" s="95" t="s">
        <v>15</v>
      </c>
      <c r="E50" s="95" t="s">
        <v>107</v>
      </c>
      <c r="F50" s="100">
        <v>15</v>
      </c>
      <c r="G50" s="100"/>
      <c r="H50" s="95" t="s">
        <v>73</v>
      </c>
      <c r="I50" s="95" t="s">
        <v>90</v>
      </c>
      <c r="J50" s="95" t="s">
        <v>55</v>
      </c>
      <c r="K50" s="95" t="s">
        <v>63</v>
      </c>
      <c r="L50" s="96">
        <v>45821</v>
      </c>
      <c r="M50" s="250">
        <v>0.70833333333333337</v>
      </c>
      <c r="N50" s="96">
        <v>45821</v>
      </c>
      <c r="O50" s="96" t="s">
        <v>70</v>
      </c>
      <c r="P50" s="95"/>
      <c r="Q50" s="244">
        <f t="shared" si="0"/>
        <v>0.77083333333333337</v>
      </c>
    </row>
    <row r="51" spans="1:17" ht="30" customHeight="1" x14ac:dyDescent="0.3">
      <c r="A51" s="96"/>
      <c r="B51" s="108"/>
      <c r="C51" s="96">
        <v>45821</v>
      </c>
      <c r="D51" s="95" t="s">
        <v>15</v>
      </c>
      <c r="E51" s="95" t="s">
        <v>107</v>
      </c>
      <c r="F51" s="100">
        <v>15</v>
      </c>
      <c r="G51" s="100"/>
      <c r="H51" s="95" t="s">
        <v>73</v>
      </c>
      <c r="I51" s="95" t="s">
        <v>104</v>
      </c>
      <c r="J51" s="95" t="s">
        <v>86</v>
      </c>
      <c r="K51" s="95" t="s">
        <v>87</v>
      </c>
      <c r="L51" s="96">
        <v>45821</v>
      </c>
      <c r="M51" s="250">
        <v>0.35416666666666669</v>
      </c>
      <c r="N51" s="96">
        <v>45821</v>
      </c>
      <c r="O51" s="96" t="s">
        <v>70</v>
      </c>
      <c r="P51" s="95"/>
      <c r="Q51" s="244">
        <f t="shared" si="0"/>
        <v>0.41666666666666669</v>
      </c>
    </row>
    <row r="52" spans="1:17" ht="30" customHeight="1" x14ac:dyDescent="0.3">
      <c r="A52" s="96"/>
      <c r="B52" s="108"/>
      <c r="C52" s="96">
        <v>45821</v>
      </c>
      <c r="D52" s="95" t="s">
        <v>15</v>
      </c>
      <c r="E52" s="95" t="s">
        <v>107</v>
      </c>
      <c r="F52" s="100">
        <v>15</v>
      </c>
      <c r="G52" s="100"/>
      <c r="H52" s="95" t="s">
        <v>73</v>
      </c>
      <c r="I52" s="95" t="s">
        <v>93</v>
      </c>
      <c r="J52" s="95" t="s">
        <v>79</v>
      </c>
      <c r="K52" s="95" t="s">
        <v>80</v>
      </c>
      <c r="L52" s="96">
        <v>45821</v>
      </c>
      <c r="M52" s="250">
        <v>0.35416666666666669</v>
      </c>
      <c r="N52" s="96">
        <v>45821</v>
      </c>
      <c r="O52" s="96" t="s">
        <v>70</v>
      </c>
      <c r="P52" s="95"/>
      <c r="Q52" s="244">
        <f t="shared" si="0"/>
        <v>0.41666666666666669</v>
      </c>
    </row>
    <row r="53" spans="1:17" ht="30" customHeight="1" x14ac:dyDescent="0.3">
      <c r="A53" s="96"/>
      <c r="B53" s="108"/>
      <c r="C53" s="108">
        <v>45821</v>
      </c>
      <c r="D53" s="106" t="s">
        <v>15</v>
      </c>
      <c r="E53" s="106" t="s">
        <v>108</v>
      </c>
      <c r="F53" s="107">
        <v>10</v>
      </c>
      <c r="G53" s="107">
        <v>2</v>
      </c>
      <c r="H53" s="106" t="s">
        <v>74</v>
      </c>
      <c r="I53" s="106" t="s">
        <v>91</v>
      </c>
      <c r="J53" s="106" t="s">
        <v>78</v>
      </c>
      <c r="K53" s="106" t="s">
        <v>77</v>
      </c>
      <c r="L53" s="108">
        <v>45821</v>
      </c>
      <c r="M53" s="246">
        <v>0.35416666666666669</v>
      </c>
      <c r="N53" s="108">
        <v>45821</v>
      </c>
      <c r="O53" s="108" t="s">
        <v>70</v>
      </c>
      <c r="P53" s="106"/>
      <c r="Q53" s="244">
        <f t="shared" si="0"/>
        <v>0.41666666666666669</v>
      </c>
    </row>
    <row r="54" spans="1:17" ht="30" customHeight="1" x14ac:dyDescent="0.3">
      <c r="A54" s="96"/>
      <c r="B54" s="108"/>
      <c r="C54" s="108">
        <v>45824</v>
      </c>
      <c r="D54" s="106" t="s">
        <v>15</v>
      </c>
      <c r="E54" s="106" t="s">
        <v>108</v>
      </c>
      <c r="F54" s="107">
        <v>11</v>
      </c>
      <c r="G54" s="107"/>
      <c r="H54" s="106" t="s">
        <v>74</v>
      </c>
      <c r="I54" s="106" t="s">
        <v>91</v>
      </c>
      <c r="J54" s="106" t="s">
        <v>75</v>
      </c>
      <c r="K54" s="106" t="s">
        <v>76</v>
      </c>
      <c r="L54" s="108">
        <v>45824</v>
      </c>
      <c r="M54" s="246">
        <v>0.35416666666666669</v>
      </c>
      <c r="N54" s="108">
        <v>45824</v>
      </c>
      <c r="O54" s="108" t="s">
        <v>70</v>
      </c>
      <c r="P54" s="106"/>
      <c r="Q54" s="244">
        <f t="shared" si="0"/>
        <v>0.41666666666666669</v>
      </c>
    </row>
    <row r="55" spans="1:17" ht="30" customHeight="1" x14ac:dyDescent="0.3">
      <c r="A55" s="96"/>
      <c r="B55" s="108"/>
      <c r="C55" s="108">
        <v>45825</v>
      </c>
      <c r="D55" s="106" t="s">
        <v>15</v>
      </c>
      <c r="E55" s="106" t="s">
        <v>108</v>
      </c>
      <c r="F55" s="107">
        <v>11</v>
      </c>
      <c r="G55" s="107">
        <v>1</v>
      </c>
      <c r="H55" s="106" t="s">
        <v>74</v>
      </c>
      <c r="I55" s="106" t="s">
        <v>91</v>
      </c>
      <c r="J55" s="106" t="s">
        <v>78</v>
      </c>
      <c r="K55" s="106" t="s">
        <v>77</v>
      </c>
      <c r="L55" s="108">
        <v>45825</v>
      </c>
      <c r="M55" s="246">
        <v>0.375</v>
      </c>
      <c r="N55" s="108">
        <v>45825</v>
      </c>
      <c r="O55" s="108" t="s">
        <v>70</v>
      </c>
      <c r="P55" s="106"/>
      <c r="Q55" s="244">
        <f t="shared" si="0"/>
        <v>0.4375</v>
      </c>
    </row>
    <row r="56" spans="1:17" ht="30" customHeight="1" x14ac:dyDescent="0.3">
      <c r="A56" s="96"/>
      <c r="B56" s="108"/>
      <c r="C56" s="108">
        <v>45825</v>
      </c>
      <c r="D56" s="106" t="s">
        <v>15</v>
      </c>
      <c r="E56" s="106" t="s">
        <v>108</v>
      </c>
      <c r="F56" s="107">
        <v>11</v>
      </c>
      <c r="G56" s="107">
        <v>2</v>
      </c>
      <c r="H56" s="106" t="s">
        <v>74</v>
      </c>
      <c r="I56" s="106" t="s">
        <v>91</v>
      </c>
      <c r="J56" s="106" t="s">
        <v>78</v>
      </c>
      <c r="K56" s="106" t="s">
        <v>77</v>
      </c>
      <c r="L56" s="108">
        <v>45825</v>
      </c>
      <c r="M56" s="246">
        <v>0.51041666666666663</v>
      </c>
      <c r="N56" s="108">
        <v>45825</v>
      </c>
      <c r="O56" s="108" t="s">
        <v>70</v>
      </c>
      <c r="P56" s="106"/>
      <c r="Q56" s="244">
        <f t="shared" si="0"/>
        <v>0.57291666666666663</v>
      </c>
    </row>
    <row r="57" spans="1:17" ht="30" customHeight="1" x14ac:dyDescent="0.3">
      <c r="A57" s="96"/>
      <c r="B57" s="108"/>
      <c r="C57" s="108">
        <v>45826</v>
      </c>
      <c r="D57" s="106" t="s">
        <v>15</v>
      </c>
      <c r="E57" s="106" t="s">
        <v>108</v>
      </c>
      <c r="F57" s="107">
        <v>11</v>
      </c>
      <c r="G57" s="107">
        <v>1</v>
      </c>
      <c r="H57" s="106" t="s">
        <v>74</v>
      </c>
      <c r="I57" s="106" t="s">
        <v>91</v>
      </c>
      <c r="J57" s="106" t="s">
        <v>61</v>
      </c>
      <c r="K57" s="106" t="s">
        <v>58</v>
      </c>
      <c r="L57" s="108">
        <v>45826</v>
      </c>
      <c r="M57" s="246">
        <v>0.375</v>
      </c>
      <c r="N57" s="108">
        <v>45826</v>
      </c>
      <c r="O57" s="108" t="s">
        <v>70</v>
      </c>
      <c r="P57" s="106"/>
      <c r="Q57" s="244">
        <f t="shared" si="0"/>
        <v>0.4375</v>
      </c>
    </row>
    <row r="58" spans="1:17" ht="30" customHeight="1" x14ac:dyDescent="0.3">
      <c r="A58" s="96"/>
      <c r="B58" s="108"/>
      <c r="C58" s="108">
        <v>45826</v>
      </c>
      <c r="D58" s="106" t="s">
        <v>15</v>
      </c>
      <c r="E58" s="106" t="s">
        <v>108</v>
      </c>
      <c r="F58" s="107">
        <v>11</v>
      </c>
      <c r="G58" s="107">
        <v>2</v>
      </c>
      <c r="H58" s="106" t="s">
        <v>74</v>
      </c>
      <c r="I58" s="106" t="s">
        <v>91</v>
      </c>
      <c r="J58" s="106" t="s">
        <v>61</v>
      </c>
      <c r="K58" s="106" t="s">
        <v>58</v>
      </c>
      <c r="L58" s="108">
        <v>45826</v>
      </c>
      <c r="M58" s="246">
        <v>0.52083333333333337</v>
      </c>
      <c r="N58" s="108">
        <v>45826</v>
      </c>
      <c r="O58" s="108" t="s">
        <v>70</v>
      </c>
      <c r="P58" s="106"/>
      <c r="Q58" s="244">
        <f t="shared" si="0"/>
        <v>0.58333333333333337</v>
      </c>
    </row>
    <row r="59" spans="1:17" ht="48.75" customHeight="1" x14ac:dyDescent="0.3">
      <c r="A59" s="96"/>
      <c r="B59" s="108"/>
      <c r="C59" s="108">
        <v>45828</v>
      </c>
      <c r="D59" s="198" t="s">
        <v>15</v>
      </c>
      <c r="E59" s="198" t="s">
        <v>108</v>
      </c>
      <c r="F59" s="199">
        <v>11</v>
      </c>
      <c r="G59" s="199"/>
      <c r="H59" s="198" t="s">
        <v>74</v>
      </c>
      <c r="I59" s="198" t="s">
        <v>91</v>
      </c>
      <c r="J59" s="198" t="s">
        <v>62</v>
      </c>
      <c r="K59" s="198" t="s">
        <v>59</v>
      </c>
      <c r="L59" s="200">
        <v>45828</v>
      </c>
      <c r="M59" s="256">
        <v>0.35416666666666669</v>
      </c>
      <c r="N59" s="200">
        <v>45828</v>
      </c>
      <c r="O59" s="200" t="s">
        <v>70</v>
      </c>
      <c r="P59" s="198" t="s">
        <v>275</v>
      </c>
      <c r="Q59" s="244">
        <f t="shared" si="0"/>
        <v>0.41666666666666669</v>
      </c>
    </row>
    <row r="60" spans="1:17" ht="30" customHeight="1" x14ac:dyDescent="0.3">
      <c r="A60" s="96"/>
      <c r="B60" s="108"/>
      <c r="C60" s="108">
        <v>45831</v>
      </c>
      <c r="D60" s="106" t="s">
        <v>15</v>
      </c>
      <c r="E60" s="106" t="s">
        <v>108</v>
      </c>
      <c r="F60" s="107">
        <v>12</v>
      </c>
      <c r="G60" s="107"/>
      <c r="H60" s="106" t="s">
        <v>74</v>
      </c>
      <c r="I60" s="106" t="s">
        <v>91</v>
      </c>
      <c r="J60" s="106" t="s">
        <v>75</v>
      </c>
      <c r="K60" s="106" t="s">
        <v>76</v>
      </c>
      <c r="L60" s="108">
        <v>45831</v>
      </c>
      <c r="M60" s="246">
        <v>0.35416666666666669</v>
      </c>
      <c r="N60" s="108">
        <v>45831</v>
      </c>
      <c r="O60" s="108" t="s">
        <v>70</v>
      </c>
      <c r="P60" s="106"/>
      <c r="Q60" s="244">
        <f t="shared" si="0"/>
        <v>0.41666666666666669</v>
      </c>
    </row>
    <row r="61" spans="1:17" ht="30" customHeight="1" x14ac:dyDescent="0.3">
      <c r="A61" s="96"/>
      <c r="B61" s="108"/>
      <c r="C61" s="108">
        <v>45832</v>
      </c>
      <c r="D61" s="106" t="s">
        <v>15</v>
      </c>
      <c r="E61" s="106" t="s">
        <v>108</v>
      </c>
      <c r="F61" s="107">
        <v>12</v>
      </c>
      <c r="G61" s="107">
        <v>1</v>
      </c>
      <c r="H61" s="106" t="s">
        <v>74</v>
      </c>
      <c r="I61" s="106" t="s">
        <v>91</v>
      </c>
      <c r="J61" s="106" t="s">
        <v>78</v>
      </c>
      <c r="K61" s="106" t="s">
        <v>77</v>
      </c>
      <c r="L61" s="108">
        <v>45832</v>
      </c>
      <c r="M61" s="246">
        <v>0.375</v>
      </c>
      <c r="N61" s="108">
        <v>45832</v>
      </c>
      <c r="O61" s="108" t="s">
        <v>70</v>
      </c>
      <c r="P61" s="106"/>
      <c r="Q61" s="244">
        <f t="shared" si="0"/>
        <v>0.4375</v>
      </c>
    </row>
    <row r="62" spans="1:17" ht="30" customHeight="1" x14ac:dyDescent="0.3">
      <c r="A62" s="96"/>
      <c r="B62" s="108"/>
      <c r="C62" s="108">
        <v>45832</v>
      </c>
      <c r="D62" s="106" t="s">
        <v>15</v>
      </c>
      <c r="E62" s="106" t="s">
        <v>108</v>
      </c>
      <c r="F62" s="107">
        <v>12</v>
      </c>
      <c r="G62" s="107">
        <v>2</v>
      </c>
      <c r="H62" s="106" t="s">
        <v>74</v>
      </c>
      <c r="I62" s="106" t="s">
        <v>91</v>
      </c>
      <c r="J62" s="106" t="s">
        <v>78</v>
      </c>
      <c r="K62" s="106" t="s">
        <v>77</v>
      </c>
      <c r="L62" s="108">
        <v>45832</v>
      </c>
      <c r="M62" s="246">
        <v>0.51041666666666663</v>
      </c>
      <c r="N62" s="108">
        <v>45832</v>
      </c>
      <c r="O62" s="108" t="s">
        <v>70</v>
      </c>
      <c r="P62" s="106"/>
      <c r="Q62" s="244">
        <f t="shared" si="0"/>
        <v>0.57291666666666663</v>
      </c>
    </row>
    <row r="63" spans="1:17" ht="39.75" customHeight="1" x14ac:dyDescent="0.3">
      <c r="A63" s="96"/>
      <c r="B63" s="108"/>
      <c r="C63" s="108"/>
      <c r="D63" s="198" t="s">
        <v>15</v>
      </c>
      <c r="E63" s="198" t="s">
        <v>108</v>
      </c>
      <c r="F63" s="199">
        <v>12</v>
      </c>
      <c r="G63" s="199">
        <v>1</v>
      </c>
      <c r="H63" s="198" t="s">
        <v>74</v>
      </c>
      <c r="I63" s="198" t="s">
        <v>91</v>
      </c>
      <c r="J63" s="198" t="s">
        <v>61</v>
      </c>
      <c r="K63" s="198" t="s">
        <v>58</v>
      </c>
      <c r="L63" s="200">
        <v>45833</v>
      </c>
      <c r="M63" s="255">
        <v>0.375</v>
      </c>
      <c r="N63" s="200">
        <v>45833</v>
      </c>
      <c r="O63" s="200" t="s">
        <v>70</v>
      </c>
      <c r="P63" s="198" t="s">
        <v>273</v>
      </c>
      <c r="Q63" s="244">
        <f t="shared" si="0"/>
        <v>0.4375</v>
      </c>
    </row>
    <row r="64" spans="1:17" ht="39" customHeight="1" x14ac:dyDescent="0.3">
      <c r="A64" s="96"/>
      <c r="B64" s="108"/>
      <c r="C64" s="108"/>
      <c r="D64" s="198" t="s">
        <v>15</v>
      </c>
      <c r="E64" s="198" t="s">
        <v>108</v>
      </c>
      <c r="F64" s="199">
        <v>12</v>
      </c>
      <c r="G64" s="199">
        <v>2</v>
      </c>
      <c r="H64" s="198" t="s">
        <v>74</v>
      </c>
      <c r="I64" s="198" t="s">
        <v>91</v>
      </c>
      <c r="J64" s="198" t="s">
        <v>61</v>
      </c>
      <c r="K64" s="198" t="s">
        <v>58</v>
      </c>
      <c r="L64" s="200">
        <v>45833</v>
      </c>
      <c r="M64" s="255">
        <v>0.52083333333333337</v>
      </c>
      <c r="N64" s="200">
        <v>45833</v>
      </c>
      <c r="O64" s="200" t="s">
        <v>70</v>
      </c>
      <c r="P64" s="198" t="s">
        <v>273</v>
      </c>
      <c r="Q64" s="244">
        <f t="shared" si="0"/>
        <v>0.58333333333333337</v>
      </c>
    </row>
    <row r="65" spans="1:17" ht="30" customHeight="1" x14ac:dyDescent="0.3">
      <c r="A65" s="96"/>
      <c r="B65" s="108"/>
      <c r="C65" s="108">
        <v>45834</v>
      </c>
      <c r="D65" s="198" t="s">
        <v>15</v>
      </c>
      <c r="E65" s="198" t="s">
        <v>108</v>
      </c>
      <c r="F65" s="199">
        <v>12</v>
      </c>
      <c r="G65" s="199"/>
      <c r="H65" s="198" t="s">
        <v>74</v>
      </c>
      <c r="I65" s="198" t="s">
        <v>91</v>
      </c>
      <c r="J65" s="198" t="s">
        <v>62</v>
      </c>
      <c r="K65" s="198" t="s">
        <v>59</v>
      </c>
      <c r="L65" s="200">
        <v>45834</v>
      </c>
      <c r="M65" s="256">
        <v>0.35416666666666669</v>
      </c>
      <c r="N65" s="200">
        <v>45834</v>
      </c>
      <c r="O65" s="200" t="s">
        <v>70</v>
      </c>
      <c r="P65" s="198" t="s">
        <v>251</v>
      </c>
      <c r="Q65" s="244">
        <f t="shared" si="0"/>
        <v>0.41666666666666669</v>
      </c>
    </row>
    <row r="66" spans="1:17" ht="37.5" customHeight="1" x14ac:dyDescent="0.3">
      <c r="A66" s="96"/>
      <c r="B66" s="108"/>
      <c r="C66" s="108"/>
      <c r="D66" s="198" t="s">
        <v>15</v>
      </c>
      <c r="E66" s="198" t="s">
        <v>108</v>
      </c>
      <c r="F66" s="199">
        <v>13</v>
      </c>
      <c r="G66" s="199"/>
      <c r="H66" s="198" t="s">
        <v>74</v>
      </c>
      <c r="I66" s="198" t="s">
        <v>91</v>
      </c>
      <c r="J66" s="198" t="s">
        <v>62</v>
      </c>
      <c r="K66" s="198" t="s">
        <v>59</v>
      </c>
      <c r="L66" s="200">
        <v>45835</v>
      </c>
      <c r="M66" s="256">
        <v>0.35416666666666669</v>
      </c>
      <c r="N66" s="200">
        <v>45835</v>
      </c>
      <c r="O66" s="200" t="s">
        <v>70</v>
      </c>
      <c r="P66" s="198" t="s">
        <v>276</v>
      </c>
      <c r="Q66" s="244">
        <f t="shared" si="0"/>
        <v>0.41666666666666669</v>
      </c>
    </row>
    <row r="67" spans="1:17" ht="60.75" customHeight="1" x14ac:dyDescent="0.3">
      <c r="A67" s="96"/>
      <c r="B67" s="108"/>
      <c r="C67" s="108">
        <v>45835</v>
      </c>
      <c r="D67" s="210" t="s">
        <v>15</v>
      </c>
      <c r="E67" s="210" t="s">
        <v>108</v>
      </c>
      <c r="F67" s="205">
        <v>12</v>
      </c>
      <c r="G67" s="205">
        <v>1</v>
      </c>
      <c r="H67" s="210" t="s">
        <v>74</v>
      </c>
      <c r="I67" s="210" t="s">
        <v>91</v>
      </c>
      <c r="J67" s="210" t="s">
        <v>61</v>
      </c>
      <c r="K67" s="210" t="s">
        <v>58</v>
      </c>
      <c r="L67" s="206">
        <v>45835</v>
      </c>
      <c r="M67" s="257">
        <v>0.375</v>
      </c>
      <c r="N67" s="206">
        <v>45835</v>
      </c>
      <c r="O67" s="206" t="s">
        <v>70</v>
      </c>
      <c r="P67" s="210" t="s">
        <v>274</v>
      </c>
      <c r="Q67" s="244">
        <f t="shared" si="0"/>
        <v>0.4375</v>
      </c>
    </row>
    <row r="68" spans="1:17" ht="60.75" customHeight="1" x14ac:dyDescent="0.3">
      <c r="A68" s="96"/>
      <c r="B68" s="96"/>
      <c r="C68" s="108">
        <v>45835</v>
      </c>
      <c r="D68" s="210" t="s">
        <v>15</v>
      </c>
      <c r="E68" s="210" t="s">
        <v>108</v>
      </c>
      <c r="F68" s="205">
        <v>12</v>
      </c>
      <c r="G68" s="205">
        <v>2</v>
      </c>
      <c r="H68" s="210" t="s">
        <v>74</v>
      </c>
      <c r="I68" s="210" t="s">
        <v>91</v>
      </c>
      <c r="J68" s="210" t="s">
        <v>61</v>
      </c>
      <c r="K68" s="210" t="s">
        <v>58</v>
      </c>
      <c r="L68" s="206">
        <v>45835</v>
      </c>
      <c r="M68" s="257">
        <v>0.52083333333333337</v>
      </c>
      <c r="N68" s="206">
        <v>45835</v>
      </c>
      <c r="O68" s="206" t="s">
        <v>70</v>
      </c>
      <c r="P68" s="210" t="s">
        <v>274</v>
      </c>
      <c r="Q68" s="244">
        <f t="shared" si="0"/>
        <v>0.58333333333333337</v>
      </c>
    </row>
    <row r="69" spans="1:17" ht="122.25" customHeight="1" x14ac:dyDescent="0.3">
      <c r="A69" s="96">
        <v>45776</v>
      </c>
      <c r="B69" s="96">
        <v>45806</v>
      </c>
      <c r="C69" s="134"/>
      <c r="D69" s="131" t="s">
        <v>17</v>
      </c>
      <c r="E69" s="133" t="s">
        <v>148</v>
      </c>
      <c r="F69" s="241">
        <v>2</v>
      </c>
      <c r="G69" s="241"/>
      <c r="H69" s="133" t="s">
        <v>73</v>
      </c>
      <c r="I69" s="133" t="s">
        <v>264</v>
      </c>
      <c r="J69" s="133" t="s">
        <v>257</v>
      </c>
      <c r="K69" s="133" t="s">
        <v>258</v>
      </c>
      <c r="L69" s="242">
        <v>45822</v>
      </c>
      <c r="M69" s="249">
        <v>0.375</v>
      </c>
      <c r="N69" s="242">
        <v>45822</v>
      </c>
      <c r="O69" s="243">
        <v>0.54166666666666663</v>
      </c>
      <c r="P69" s="133" t="s">
        <v>259</v>
      </c>
      <c r="Q69" s="244"/>
    </row>
    <row r="70" spans="1:17" ht="122.25" customHeight="1" x14ac:dyDescent="0.3">
      <c r="A70" s="96"/>
      <c r="B70" s="96"/>
      <c r="C70" s="134"/>
      <c r="D70" s="131" t="s">
        <v>17</v>
      </c>
      <c r="E70" s="133" t="s">
        <v>148</v>
      </c>
      <c r="F70" s="241">
        <v>3</v>
      </c>
      <c r="G70" s="241"/>
      <c r="H70" s="133" t="s">
        <v>73</v>
      </c>
      <c r="I70" s="133" t="s">
        <v>264</v>
      </c>
      <c r="J70" s="133" t="s">
        <v>260</v>
      </c>
      <c r="K70" s="133" t="s">
        <v>261</v>
      </c>
      <c r="L70" s="242">
        <v>45822</v>
      </c>
      <c r="M70" s="249">
        <v>0.41666666666666669</v>
      </c>
      <c r="N70" s="242">
        <v>45822</v>
      </c>
      <c r="O70" s="243">
        <v>0.5</v>
      </c>
      <c r="P70" s="133" t="s">
        <v>259</v>
      </c>
      <c r="Q70" s="244"/>
    </row>
    <row r="71" spans="1:17" ht="129" customHeight="1" x14ac:dyDescent="0.3">
      <c r="A71" s="96">
        <v>45776</v>
      </c>
      <c r="B71" s="96">
        <v>45806</v>
      </c>
      <c r="C71" s="134"/>
      <c r="D71" s="131" t="s">
        <v>17</v>
      </c>
      <c r="E71" s="133" t="s">
        <v>148</v>
      </c>
      <c r="F71" s="241">
        <v>4</v>
      </c>
      <c r="G71" s="241"/>
      <c r="H71" s="133" t="s">
        <v>73</v>
      </c>
      <c r="I71" s="133" t="s">
        <v>264</v>
      </c>
      <c r="J71" s="133" t="s">
        <v>265</v>
      </c>
      <c r="K71" s="133" t="s">
        <v>269</v>
      </c>
      <c r="L71" s="242">
        <v>45829</v>
      </c>
      <c r="M71" s="249">
        <v>0.54166666666666663</v>
      </c>
      <c r="N71" s="242">
        <v>45829</v>
      </c>
      <c r="O71" s="243">
        <v>0.625</v>
      </c>
      <c r="P71" s="133" t="s">
        <v>259</v>
      </c>
      <c r="Q71" s="244"/>
    </row>
    <row r="72" spans="1:17" ht="142.19999999999999" customHeight="1" x14ac:dyDescent="0.3">
      <c r="A72" s="94" t="e" vm="1">
        <v>#VALUE!</v>
      </c>
      <c r="D72" s="302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</row>
    <row r="73" spans="1:17" ht="65.400000000000006" customHeight="1" x14ac:dyDescent="0.3">
      <c r="D73" s="304" t="s">
        <v>243</v>
      </c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</row>
  </sheetData>
  <sheetProtection formatCells="0" formatColumns="0" formatRows="0" insertColumns="0" insertRows="0" insertHyperlinks="0" deleteColumns="0" deleteRows="0" sort="0" autoFilter="0" pivotTables="0"/>
  <autoFilter ref="A8:P73" xr:uid="{2D5397B6-A7EF-44BC-AFEB-2E3D8598E273}"/>
  <mergeCells count="4">
    <mergeCell ref="F1:P1"/>
    <mergeCell ref="D2:E2"/>
    <mergeCell ref="D72:P72"/>
    <mergeCell ref="D73:P73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4F5-D2EE-463C-A68A-113442289F38}">
  <dimension ref="A1:Q70"/>
  <sheetViews>
    <sheetView topLeftCell="D38" zoomScale="90" zoomScaleNormal="90" workbookViewId="0">
      <selection activeCell="P12" sqref="P12"/>
    </sheetView>
  </sheetViews>
  <sheetFormatPr defaultColWidth="8.88671875" defaultRowHeight="13.8" x14ac:dyDescent="0.3"/>
  <cols>
    <col min="1" max="3" width="11.5546875" style="94" hidden="1" customWidth="1"/>
    <col min="4" max="4" width="42.109375" style="94" customWidth="1"/>
    <col min="5" max="5" width="40.44140625" style="94" customWidth="1"/>
    <col min="6" max="6" width="8" style="94" customWidth="1"/>
    <col min="7" max="7" width="7.88671875" style="94" customWidth="1"/>
    <col min="8" max="8" width="16.44140625" style="94" customWidth="1"/>
    <col min="9" max="9" width="18.33203125" style="94" customWidth="1"/>
    <col min="10" max="10" width="22.88671875" style="94" customWidth="1"/>
    <col min="11" max="11" width="26.33203125" style="94" customWidth="1"/>
    <col min="12" max="15" width="11.5546875" style="94" customWidth="1"/>
    <col min="16" max="16" width="21.88671875" style="94" customWidth="1"/>
    <col min="17" max="16384" width="8.88671875" style="94"/>
  </cols>
  <sheetData>
    <row r="1" spans="1:17" ht="15" customHeight="1" x14ac:dyDescent="0.3">
      <c r="D1" s="104" t="s">
        <v>113</v>
      </c>
      <c r="F1" s="299" t="s">
        <v>114</v>
      </c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pans="1:17" s="3" customFormat="1" ht="31.2" customHeight="1" x14ac:dyDescent="0.3">
      <c r="A2" s="122" t="s">
        <v>115</v>
      </c>
      <c r="B2" s="122"/>
      <c r="C2" s="122"/>
      <c r="D2" s="300" t="s">
        <v>115</v>
      </c>
      <c r="E2" s="301"/>
    </row>
    <row r="3" spans="1:17" s="3" customFormat="1" ht="15" customHeight="1" x14ac:dyDescent="0.3">
      <c r="A3" s="1"/>
      <c r="B3" s="1"/>
      <c r="C3" s="1"/>
      <c r="D3" s="64" t="s">
        <v>116</v>
      </c>
    </row>
    <row r="4" spans="1:17" s="3" customFormat="1" ht="15" customHeight="1" x14ac:dyDescent="0.3">
      <c r="A4" s="1"/>
      <c r="B4" s="1"/>
      <c r="C4" s="1"/>
      <c r="D4" s="64" t="s">
        <v>117</v>
      </c>
    </row>
    <row r="5" spans="1:17" s="3" customFormat="1" ht="15" customHeight="1" x14ac:dyDescent="0.3">
      <c r="A5" s="1"/>
      <c r="B5" s="1"/>
      <c r="C5" s="1"/>
      <c r="D5" s="64"/>
    </row>
    <row r="6" spans="1:17" s="3" customFormat="1" ht="31.2" customHeight="1" x14ac:dyDescent="0.3">
      <c r="A6" s="1"/>
      <c r="B6" s="1"/>
      <c r="C6" s="1"/>
      <c r="D6" s="105" t="s">
        <v>262</v>
      </c>
    </row>
    <row r="7" spans="1:17" s="3" customFormat="1" ht="15" customHeight="1" x14ac:dyDescent="0.3">
      <c r="A7" s="1"/>
      <c r="B7" s="1"/>
      <c r="C7" s="1"/>
      <c r="D7" s="64"/>
    </row>
    <row r="8" spans="1:17" ht="61.5" customHeight="1" x14ac:dyDescent="0.3">
      <c r="A8" s="98" t="s">
        <v>112</v>
      </c>
      <c r="B8" s="120" t="s">
        <v>146</v>
      </c>
      <c r="C8" s="240"/>
      <c r="D8" s="103" t="s">
        <v>106</v>
      </c>
      <c r="E8" s="103" t="s">
        <v>72</v>
      </c>
      <c r="F8" s="123" t="s">
        <v>149</v>
      </c>
      <c r="G8" s="103" t="s">
        <v>60</v>
      </c>
      <c r="H8" s="103" t="s">
        <v>88</v>
      </c>
      <c r="I8" s="103" t="s">
        <v>89</v>
      </c>
      <c r="J8" s="103" t="s">
        <v>64</v>
      </c>
      <c r="K8" s="103" t="s">
        <v>65</v>
      </c>
      <c r="L8" s="103" t="s">
        <v>66</v>
      </c>
      <c r="M8" s="103" t="s">
        <v>67</v>
      </c>
      <c r="N8" s="103" t="s">
        <v>69</v>
      </c>
      <c r="O8" s="103" t="s">
        <v>68</v>
      </c>
      <c r="P8" s="103" t="s">
        <v>109</v>
      </c>
    </row>
    <row r="9" spans="1:17" ht="119.4" customHeight="1" x14ac:dyDescent="0.3">
      <c r="A9" s="98"/>
      <c r="B9" s="120"/>
      <c r="C9" s="245"/>
      <c r="D9" s="95" t="s">
        <v>7</v>
      </c>
      <c r="E9" s="95"/>
      <c r="F9" s="100"/>
      <c r="G9" s="100"/>
      <c r="H9" s="95"/>
      <c r="I9" s="95"/>
      <c r="J9" s="95"/>
      <c r="K9" s="95"/>
      <c r="L9" s="96"/>
      <c r="M9" s="100"/>
      <c r="N9" s="96"/>
      <c r="O9" s="95"/>
      <c r="P9" s="95" t="s">
        <v>152</v>
      </c>
    </row>
    <row r="10" spans="1:17" ht="98.25" customHeight="1" x14ac:dyDescent="0.3">
      <c r="A10" s="98"/>
      <c r="B10" s="120"/>
      <c r="C10" s="245"/>
      <c r="D10" s="131" t="s">
        <v>9</v>
      </c>
      <c r="E10" s="131"/>
      <c r="F10" s="132"/>
      <c r="G10" s="132"/>
      <c r="H10" s="131"/>
      <c r="I10" s="131"/>
      <c r="J10" s="131"/>
      <c r="K10" s="131"/>
      <c r="L10" s="134"/>
      <c r="M10" s="132"/>
      <c r="N10" s="134"/>
      <c r="O10" s="131"/>
      <c r="P10" s="131" t="s">
        <v>153</v>
      </c>
    </row>
    <row r="11" spans="1:17" ht="77.25" customHeight="1" x14ac:dyDescent="0.3">
      <c r="A11" s="98"/>
      <c r="B11" s="120"/>
      <c r="C11" s="245"/>
      <c r="D11" s="95" t="s">
        <v>11</v>
      </c>
      <c r="E11" s="95"/>
      <c r="F11" s="100"/>
      <c r="G11" s="100"/>
      <c r="H11" s="95"/>
      <c r="I11" s="95"/>
      <c r="J11" s="95"/>
      <c r="K11" s="95"/>
      <c r="L11" s="96"/>
      <c r="M11" s="100"/>
      <c r="N11" s="96"/>
      <c r="O11" s="95"/>
      <c r="P11" s="95" t="s">
        <v>263</v>
      </c>
    </row>
    <row r="12" spans="1:17" ht="120.75" customHeight="1" x14ac:dyDescent="0.3">
      <c r="A12" s="98"/>
      <c r="B12" s="120"/>
      <c r="C12" s="248">
        <v>45817</v>
      </c>
      <c r="D12" s="133" t="s">
        <v>13</v>
      </c>
      <c r="E12" s="133" t="s">
        <v>268</v>
      </c>
      <c r="F12" s="241">
        <v>2</v>
      </c>
      <c r="G12" s="241"/>
      <c r="H12" s="133" t="s">
        <v>73</v>
      </c>
      <c r="I12" s="133" t="s">
        <v>272</v>
      </c>
      <c r="J12" s="133" t="s">
        <v>73</v>
      </c>
      <c r="K12" s="133" t="s">
        <v>98</v>
      </c>
      <c r="L12" s="242">
        <v>45817</v>
      </c>
      <c r="M12" s="249">
        <v>0.79166666666666663</v>
      </c>
      <c r="N12" s="242">
        <v>45817</v>
      </c>
      <c r="O12" s="133" t="s">
        <v>266</v>
      </c>
      <c r="P12" s="133" t="s">
        <v>267</v>
      </c>
    </row>
    <row r="13" spans="1:17" ht="30" customHeight="1" x14ac:dyDescent="0.3">
      <c r="A13" s="96">
        <v>45748</v>
      </c>
      <c r="B13" s="96">
        <v>45779</v>
      </c>
      <c r="C13" s="96">
        <v>45810</v>
      </c>
      <c r="D13" s="95" t="s">
        <v>15</v>
      </c>
      <c r="E13" s="95" t="s">
        <v>107</v>
      </c>
      <c r="F13" s="100">
        <v>11</v>
      </c>
      <c r="G13" s="100"/>
      <c r="H13" s="95" t="s">
        <v>73</v>
      </c>
      <c r="I13" s="95" t="s">
        <v>90</v>
      </c>
      <c r="J13" s="95" t="s">
        <v>55</v>
      </c>
      <c r="K13" s="95" t="s">
        <v>63</v>
      </c>
      <c r="L13" s="96">
        <v>45810</v>
      </c>
      <c r="M13" s="250">
        <v>0.54861111111111116</v>
      </c>
      <c r="N13" s="96">
        <v>45810</v>
      </c>
      <c r="O13" s="96" t="s">
        <v>70</v>
      </c>
      <c r="P13" s="95"/>
      <c r="Q13" s="244">
        <f t="shared" ref="Q13:Q65" si="0">M13 + TIME(1,30,0)</f>
        <v>0.61111111111111116</v>
      </c>
    </row>
    <row r="14" spans="1:17" ht="30" customHeight="1" x14ac:dyDescent="0.3">
      <c r="A14" s="102">
        <v>45748</v>
      </c>
      <c r="B14" s="96">
        <v>45779</v>
      </c>
      <c r="C14" s="96">
        <v>45810</v>
      </c>
      <c r="D14" s="95" t="s">
        <v>15</v>
      </c>
      <c r="E14" s="95" t="s">
        <v>107</v>
      </c>
      <c r="F14" s="100">
        <v>13</v>
      </c>
      <c r="G14" s="100"/>
      <c r="H14" s="95" t="s">
        <v>73</v>
      </c>
      <c r="I14" s="95" t="s">
        <v>94</v>
      </c>
      <c r="J14" s="95" t="s">
        <v>81</v>
      </c>
      <c r="K14" s="95" t="s">
        <v>82</v>
      </c>
      <c r="L14" s="96">
        <v>45810</v>
      </c>
      <c r="M14" s="250">
        <v>0.58333333333333337</v>
      </c>
      <c r="N14" s="96">
        <v>45810</v>
      </c>
      <c r="O14" s="96" t="s">
        <v>70</v>
      </c>
      <c r="P14" s="95"/>
      <c r="Q14" s="244">
        <f t="shared" si="0"/>
        <v>0.64583333333333337</v>
      </c>
    </row>
    <row r="15" spans="1:17" ht="30" customHeight="1" x14ac:dyDescent="0.3">
      <c r="A15" s="102"/>
      <c r="B15" s="96"/>
      <c r="C15" s="108">
        <v>45810</v>
      </c>
      <c r="D15" s="106" t="s">
        <v>15</v>
      </c>
      <c r="E15" s="106" t="s">
        <v>108</v>
      </c>
      <c r="F15" s="107">
        <v>9</v>
      </c>
      <c r="G15" s="107"/>
      <c r="H15" s="106" t="s">
        <v>74</v>
      </c>
      <c r="I15" s="106" t="s">
        <v>91</v>
      </c>
      <c r="J15" s="106" t="s">
        <v>75</v>
      </c>
      <c r="K15" s="106" t="s">
        <v>76</v>
      </c>
      <c r="L15" s="108">
        <v>45810</v>
      </c>
      <c r="M15" s="246">
        <v>0.35416666666666669</v>
      </c>
      <c r="N15" s="108">
        <v>45810</v>
      </c>
      <c r="O15" s="108" t="s">
        <v>70</v>
      </c>
      <c r="P15" s="106"/>
      <c r="Q15" s="244">
        <f t="shared" si="0"/>
        <v>0.41666666666666669</v>
      </c>
    </row>
    <row r="16" spans="1:17" ht="30" customHeight="1" x14ac:dyDescent="0.3">
      <c r="A16" s="102"/>
      <c r="B16" s="96"/>
      <c r="C16" s="96">
        <v>45811</v>
      </c>
      <c r="D16" s="95" t="s">
        <v>15</v>
      </c>
      <c r="E16" s="95" t="s">
        <v>107</v>
      </c>
      <c r="F16" s="100">
        <v>12</v>
      </c>
      <c r="G16" s="100"/>
      <c r="H16" s="95" t="s">
        <v>73</v>
      </c>
      <c r="I16" s="95" t="s">
        <v>92</v>
      </c>
      <c r="J16" s="95" t="s">
        <v>118</v>
      </c>
      <c r="K16" s="95" t="s">
        <v>119</v>
      </c>
      <c r="L16" s="96">
        <v>45811</v>
      </c>
      <c r="M16" s="250">
        <v>0.52083333333333337</v>
      </c>
      <c r="N16" s="96">
        <v>45811</v>
      </c>
      <c r="O16" s="96" t="s">
        <v>70</v>
      </c>
      <c r="P16" s="95"/>
      <c r="Q16" s="244">
        <f t="shared" si="0"/>
        <v>0.58333333333333337</v>
      </c>
    </row>
    <row r="17" spans="1:17" ht="30" customHeight="1" x14ac:dyDescent="0.3">
      <c r="A17" s="97">
        <v>45749</v>
      </c>
      <c r="B17" s="96">
        <v>45779</v>
      </c>
      <c r="C17" s="96">
        <v>45811</v>
      </c>
      <c r="D17" s="95" t="s">
        <v>15</v>
      </c>
      <c r="E17" s="95" t="s">
        <v>107</v>
      </c>
      <c r="F17" s="100">
        <v>12</v>
      </c>
      <c r="G17" s="100"/>
      <c r="H17" s="95" t="s">
        <v>73</v>
      </c>
      <c r="I17" s="95" t="s">
        <v>103</v>
      </c>
      <c r="J17" s="95" t="s">
        <v>57</v>
      </c>
      <c r="K17" s="95" t="s">
        <v>85</v>
      </c>
      <c r="L17" s="96">
        <v>45811</v>
      </c>
      <c r="M17" s="250">
        <v>0.45833333333333331</v>
      </c>
      <c r="N17" s="96">
        <v>45811</v>
      </c>
      <c r="O17" s="96" t="s">
        <v>70</v>
      </c>
      <c r="P17" s="95"/>
      <c r="Q17" s="244">
        <f t="shared" si="0"/>
        <v>0.52083333333333326</v>
      </c>
    </row>
    <row r="18" spans="1:17" ht="30" customHeight="1" x14ac:dyDescent="0.3">
      <c r="A18" s="97"/>
      <c r="B18" s="96"/>
      <c r="C18" s="108">
        <v>45811</v>
      </c>
      <c r="D18" s="106" t="s">
        <v>15</v>
      </c>
      <c r="E18" s="106" t="s">
        <v>108</v>
      </c>
      <c r="F18" s="107">
        <v>9</v>
      </c>
      <c r="G18" s="107">
        <v>1</v>
      </c>
      <c r="H18" s="106" t="s">
        <v>74</v>
      </c>
      <c r="I18" s="106" t="s">
        <v>91</v>
      </c>
      <c r="J18" s="106" t="s">
        <v>78</v>
      </c>
      <c r="K18" s="106" t="s">
        <v>77</v>
      </c>
      <c r="L18" s="108">
        <v>45811</v>
      </c>
      <c r="M18" s="246">
        <v>0.375</v>
      </c>
      <c r="N18" s="108">
        <v>45811</v>
      </c>
      <c r="O18" s="108" t="s">
        <v>70</v>
      </c>
      <c r="P18" s="106"/>
      <c r="Q18" s="244">
        <f t="shared" si="0"/>
        <v>0.4375</v>
      </c>
    </row>
    <row r="19" spans="1:17" ht="30" customHeight="1" x14ac:dyDescent="0.3">
      <c r="A19" s="97"/>
      <c r="B19" s="96"/>
      <c r="C19" s="108">
        <v>45811</v>
      </c>
      <c r="D19" s="106" t="s">
        <v>15</v>
      </c>
      <c r="E19" s="106" t="s">
        <v>108</v>
      </c>
      <c r="F19" s="107">
        <v>8</v>
      </c>
      <c r="G19" s="107">
        <v>2</v>
      </c>
      <c r="H19" s="106" t="s">
        <v>74</v>
      </c>
      <c r="I19" s="106" t="s">
        <v>91</v>
      </c>
      <c r="J19" s="106" t="s">
        <v>78</v>
      </c>
      <c r="K19" s="106" t="s">
        <v>77</v>
      </c>
      <c r="L19" s="108">
        <v>45811</v>
      </c>
      <c r="M19" s="246">
        <v>0.51041666666666663</v>
      </c>
      <c r="N19" s="108">
        <v>45811</v>
      </c>
      <c r="O19" s="108" t="s">
        <v>70</v>
      </c>
      <c r="P19" s="106"/>
      <c r="Q19" s="244">
        <f t="shared" si="0"/>
        <v>0.57291666666666663</v>
      </c>
    </row>
    <row r="20" spans="1:17" ht="30" customHeight="1" x14ac:dyDescent="0.3">
      <c r="A20" s="96">
        <v>45750</v>
      </c>
      <c r="B20" s="108">
        <v>45782</v>
      </c>
      <c r="C20" s="96">
        <v>45812</v>
      </c>
      <c r="D20" s="95" t="s">
        <v>15</v>
      </c>
      <c r="E20" s="95" t="s">
        <v>107</v>
      </c>
      <c r="F20" s="100">
        <v>12</v>
      </c>
      <c r="G20" s="100"/>
      <c r="H20" s="95" t="s">
        <v>73</v>
      </c>
      <c r="I20" s="95" t="s">
        <v>104</v>
      </c>
      <c r="J20" s="95" t="s">
        <v>86</v>
      </c>
      <c r="K20" s="95" t="s">
        <v>87</v>
      </c>
      <c r="L20" s="96">
        <v>45812</v>
      </c>
      <c r="M20" s="250">
        <v>0.40625</v>
      </c>
      <c r="N20" s="96">
        <v>45812</v>
      </c>
      <c r="O20" s="96" t="s">
        <v>70</v>
      </c>
      <c r="P20" s="95"/>
      <c r="Q20" s="244">
        <f t="shared" si="0"/>
        <v>0.46875</v>
      </c>
    </row>
    <row r="21" spans="1:17" ht="30" customHeight="1" x14ac:dyDescent="0.3">
      <c r="A21" s="96"/>
      <c r="B21" s="108"/>
      <c r="C21" s="96">
        <v>45812</v>
      </c>
      <c r="D21" s="95" t="s">
        <v>15</v>
      </c>
      <c r="E21" s="95" t="s">
        <v>107</v>
      </c>
      <c r="F21" s="100">
        <v>11</v>
      </c>
      <c r="G21" s="100"/>
      <c r="H21" s="95" t="s">
        <v>73</v>
      </c>
      <c r="I21" s="95" t="s">
        <v>93</v>
      </c>
      <c r="J21" s="95" t="s">
        <v>79</v>
      </c>
      <c r="K21" s="95" t="s">
        <v>80</v>
      </c>
      <c r="L21" s="96">
        <v>45812</v>
      </c>
      <c r="M21" s="250">
        <v>0.35416666666666669</v>
      </c>
      <c r="N21" s="96">
        <v>45812</v>
      </c>
      <c r="O21" s="96" t="s">
        <v>70</v>
      </c>
      <c r="P21" s="95"/>
      <c r="Q21" s="244">
        <f t="shared" si="0"/>
        <v>0.41666666666666669</v>
      </c>
    </row>
    <row r="22" spans="1:17" ht="30" customHeight="1" x14ac:dyDescent="0.3">
      <c r="A22" s="96"/>
      <c r="B22" s="108"/>
      <c r="C22" s="108">
        <v>45812</v>
      </c>
      <c r="D22" s="106" t="s">
        <v>15</v>
      </c>
      <c r="E22" s="106" t="s">
        <v>108</v>
      </c>
      <c r="F22" s="107">
        <v>9</v>
      </c>
      <c r="G22" s="107">
        <v>1</v>
      </c>
      <c r="H22" s="106" t="s">
        <v>74</v>
      </c>
      <c r="I22" s="106" t="s">
        <v>91</v>
      </c>
      <c r="J22" s="106" t="s">
        <v>61</v>
      </c>
      <c r="K22" s="106" t="s">
        <v>58</v>
      </c>
      <c r="L22" s="108">
        <v>45812</v>
      </c>
      <c r="M22" s="246">
        <v>0.375</v>
      </c>
      <c r="N22" s="108">
        <v>45812</v>
      </c>
      <c r="O22" s="108" t="s">
        <v>70</v>
      </c>
      <c r="P22" s="106"/>
      <c r="Q22" s="244">
        <f t="shared" si="0"/>
        <v>0.4375</v>
      </c>
    </row>
    <row r="23" spans="1:17" ht="30" customHeight="1" x14ac:dyDescent="0.3">
      <c r="A23" s="96"/>
      <c r="B23" s="108"/>
      <c r="C23" s="108">
        <v>45812</v>
      </c>
      <c r="D23" s="106" t="s">
        <v>15</v>
      </c>
      <c r="E23" s="106" t="s">
        <v>108</v>
      </c>
      <c r="F23" s="107">
        <v>9</v>
      </c>
      <c r="G23" s="107">
        <v>2</v>
      </c>
      <c r="H23" s="106" t="s">
        <v>74</v>
      </c>
      <c r="I23" s="106" t="s">
        <v>91</v>
      </c>
      <c r="J23" s="106" t="s">
        <v>61</v>
      </c>
      <c r="K23" s="106" t="s">
        <v>58</v>
      </c>
      <c r="L23" s="108">
        <v>45812</v>
      </c>
      <c r="M23" s="246">
        <v>0.52083333333333337</v>
      </c>
      <c r="N23" s="108">
        <v>45812</v>
      </c>
      <c r="O23" s="108" t="s">
        <v>70</v>
      </c>
      <c r="P23" s="106"/>
      <c r="Q23" s="244">
        <f t="shared" si="0"/>
        <v>0.58333333333333337</v>
      </c>
    </row>
    <row r="24" spans="1:17" ht="30" customHeight="1" x14ac:dyDescent="0.3">
      <c r="A24" s="96"/>
      <c r="B24" s="108"/>
      <c r="C24" s="108">
        <v>45813</v>
      </c>
      <c r="D24" s="106" t="s">
        <v>15</v>
      </c>
      <c r="E24" s="106" t="s">
        <v>108</v>
      </c>
      <c r="F24" s="107">
        <v>10</v>
      </c>
      <c r="G24" s="107"/>
      <c r="H24" s="106" t="s">
        <v>74</v>
      </c>
      <c r="I24" s="106" t="s">
        <v>91</v>
      </c>
      <c r="J24" s="106" t="s">
        <v>62</v>
      </c>
      <c r="K24" s="106" t="s">
        <v>59</v>
      </c>
      <c r="L24" s="108">
        <v>45813</v>
      </c>
      <c r="M24" s="247">
        <v>0.35416666666666669</v>
      </c>
      <c r="N24" s="108">
        <v>45813</v>
      </c>
      <c r="O24" s="108" t="s">
        <v>70</v>
      </c>
      <c r="P24" s="106"/>
      <c r="Q24" s="244">
        <f t="shared" si="0"/>
        <v>0.41666666666666669</v>
      </c>
    </row>
    <row r="25" spans="1:17" ht="30" customHeight="1" x14ac:dyDescent="0.3">
      <c r="A25" s="96">
        <v>45750</v>
      </c>
      <c r="B25" s="96">
        <v>45782</v>
      </c>
      <c r="C25" s="96">
        <v>45814</v>
      </c>
      <c r="D25" s="95" t="s">
        <v>15</v>
      </c>
      <c r="E25" s="95" t="s">
        <v>107</v>
      </c>
      <c r="F25" s="100">
        <v>13</v>
      </c>
      <c r="G25" s="100"/>
      <c r="H25" s="95" t="s">
        <v>73</v>
      </c>
      <c r="I25" s="95" t="s">
        <v>95</v>
      </c>
      <c r="J25" s="95" t="s">
        <v>56</v>
      </c>
      <c r="K25" s="95" t="s">
        <v>83</v>
      </c>
      <c r="L25" s="96">
        <v>45814</v>
      </c>
      <c r="M25" s="250">
        <v>0.51388888888888884</v>
      </c>
      <c r="N25" s="96">
        <v>45814</v>
      </c>
      <c r="O25" s="96" t="s">
        <v>70</v>
      </c>
      <c r="P25" s="95"/>
      <c r="Q25" s="244">
        <f t="shared" si="0"/>
        <v>0.57638888888888884</v>
      </c>
    </row>
    <row r="26" spans="1:17" ht="30" customHeight="1" x14ac:dyDescent="0.3">
      <c r="A26" s="96">
        <v>45750</v>
      </c>
      <c r="B26" s="96">
        <v>45783</v>
      </c>
      <c r="C26" s="96">
        <v>45814</v>
      </c>
      <c r="D26" s="95" t="s">
        <v>15</v>
      </c>
      <c r="E26" s="95" t="s">
        <v>107</v>
      </c>
      <c r="F26" s="100">
        <v>13</v>
      </c>
      <c r="G26" s="100"/>
      <c r="H26" s="95" t="s">
        <v>73</v>
      </c>
      <c r="I26" s="95" t="s">
        <v>92</v>
      </c>
      <c r="J26" s="95" t="s">
        <v>118</v>
      </c>
      <c r="K26" s="95" t="s">
        <v>119</v>
      </c>
      <c r="L26" s="96">
        <v>45814</v>
      </c>
      <c r="M26" s="250">
        <v>0.52083333333333337</v>
      </c>
      <c r="N26" s="96">
        <v>45814</v>
      </c>
      <c r="O26" s="96" t="s">
        <v>70</v>
      </c>
      <c r="P26" s="95"/>
      <c r="Q26" s="244">
        <f t="shared" si="0"/>
        <v>0.58333333333333337</v>
      </c>
    </row>
    <row r="27" spans="1:17" ht="30" customHeight="1" x14ac:dyDescent="0.3">
      <c r="A27" s="96">
        <v>45754</v>
      </c>
      <c r="B27" s="96">
        <v>45783</v>
      </c>
      <c r="C27" s="96">
        <v>45814</v>
      </c>
      <c r="D27" s="95" t="s">
        <v>15</v>
      </c>
      <c r="E27" s="95" t="s">
        <v>107</v>
      </c>
      <c r="F27" s="100">
        <v>12</v>
      </c>
      <c r="G27" s="100"/>
      <c r="H27" s="95" t="s">
        <v>73</v>
      </c>
      <c r="I27" s="95" t="s">
        <v>90</v>
      </c>
      <c r="J27" s="95" t="s">
        <v>55</v>
      </c>
      <c r="K27" s="95" t="s">
        <v>63</v>
      </c>
      <c r="L27" s="96">
        <v>45814</v>
      </c>
      <c r="M27" s="250">
        <v>0.58333333333333337</v>
      </c>
      <c r="N27" s="96">
        <v>45814</v>
      </c>
      <c r="O27" s="96" t="s">
        <v>70</v>
      </c>
      <c r="P27" s="95"/>
      <c r="Q27" s="244">
        <f t="shared" si="0"/>
        <v>0.64583333333333337</v>
      </c>
    </row>
    <row r="28" spans="1:17" ht="30" customHeight="1" x14ac:dyDescent="0.3">
      <c r="A28" s="96"/>
      <c r="B28" s="96"/>
      <c r="C28" s="96">
        <v>45814</v>
      </c>
      <c r="D28" s="95" t="s">
        <v>15</v>
      </c>
      <c r="E28" s="95" t="s">
        <v>107</v>
      </c>
      <c r="F28" s="100">
        <v>12</v>
      </c>
      <c r="G28" s="100"/>
      <c r="H28" s="95" t="s">
        <v>73</v>
      </c>
      <c r="I28" s="95" t="s">
        <v>93</v>
      </c>
      <c r="J28" s="95" t="s">
        <v>79</v>
      </c>
      <c r="K28" s="95" t="s">
        <v>80</v>
      </c>
      <c r="L28" s="96">
        <v>45814</v>
      </c>
      <c r="M28" s="250">
        <v>0.35416666666666669</v>
      </c>
      <c r="N28" s="96">
        <v>45814</v>
      </c>
      <c r="O28" s="96" t="s">
        <v>70</v>
      </c>
      <c r="P28" s="95"/>
      <c r="Q28" s="244">
        <f t="shared" si="0"/>
        <v>0.41666666666666669</v>
      </c>
    </row>
    <row r="29" spans="1:17" ht="30" customHeight="1" x14ac:dyDescent="0.3">
      <c r="A29" s="96"/>
      <c r="B29" s="96"/>
      <c r="C29" s="96">
        <v>45814</v>
      </c>
      <c r="D29" s="95" t="s">
        <v>15</v>
      </c>
      <c r="E29" s="95" t="s">
        <v>107</v>
      </c>
      <c r="F29" s="100">
        <v>13</v>
      </c>
      <c r="G29" s="100"/>
      <c r="H29" s="95" t="s">
        <v>73</v>
      </c>
      <c r="I29" s="95" t="s">
        <v>103</v>
      </c>
      <c r="J29" s="95" t="s">
        <v>57</v>
      </c>
      <c r="K29" s="95" t="s">
        <v>85</v>
      </c>
      <c r="L29" s="96">
        <v>45814</v>
      </c>
      <c r="M29" s="250">
        <v>0.45833333333333331</v>
      </c>
      <c r="N29" s="96">
        <v>45814</v>
      </c>
      <c r="O29" s="96" t="s">
        <v>70</v>
      </c>
      <c r="P29" s="95"/>
      <c r="Q29" s="244">
        <f t="shared" si="0"/>
        <v>0.52083333333333326</v>
      </c>
    </row>
    <row r="30" spans="1:17" ht="30" customHeight="1" x14ac:dyDescent="0.3">
      <c r="A30" s="96">
        <v>45754</v>
      </c>
      <c r="B30" s="96">
        <v>45784</v>
      </c>
      <c r="C30" s="96">
        <v>45817</v>
      </c>
      <c r="D30" s="95" t="s">
        <v>15</v>
      </c>
      <c r="E30" s="95" t="s">
        <v>107</v>
      </c>
      <c r="F30" s="100">
        <v>14</v>
      </c>
      <c r="G30" s="100"/>
      <c r="H30" s="95" t="s">
        <v>73</v>
      </c>
      <c r="I30" s="95" t="s">
        <v>95</v>
      </c>
      <c r="J30" s="95" t="s">
        <v>56</v>
      </c>
      <c r="K30" s="95" t="s">
        <v>83</v>
      </c>
      <c r="L30" s="96">
        <v>45817</v>
      </c>
      <c r="M30" s="250">
        <v>0.47916666666666669</v>
      </c>
      <c r="N30" s="96">
        <v>45817</v>
      </c>
      <c r="O30" s="96" t="s">
        <v>70</v>
      </c>
      <c r="P30" s="95"/>
      <c r="Q30" s="244">
        <f t="shared" si="0"/>
        <v>0.54166666666666674</v>
      </c>
    </row>
    <row r="31" spans="1:17" ht="30" customHeight="1" x14ac:dyDescent="0.3">
      <c r="A31" s="96">
        <v>45754</v>
      </c>
      <c r="B31" s="96">
        <v>45784</v>
      </c>
      <c r="C31" s="96">
        <v>45817</v>
      </c>
      <c r="D31" s="95" t="s">
        <v>15</v>
      </c>
      <c r="E31" s="95" t="s">
        <v>107</v>
      </c>
      <c r="F31" s="100">
        <v>13</v>
      </c>
      <c r="G31" s="100"/>
      <c r="H31" s="95" t="s">
        <v>73</v>
      </c>
      <c r="I31" s="95" t="s">
        <v>90</v>
      </c>
      <c r="J31" s="95" t="s">
        <v>270</v>
      </c>
      <c r="K31" s="95" t="s">
        <v>271</v>
      </c>
      <c r="L31" s="108">
        <v>45817</v>
      </c>
      <c r="M31" s="250">
        <v>0.54861111111111116</v>
      </c>
      <c r="N31" s="96">
        <v>45817</v>
      </c>
      <c r="O31" s="96" t="s">
        <v>70</v>
      </c>
      <c r="P31" s="95"/>
      <c r="Q31" s="244">
        <f t="shared" si="0"/>
        <v>0.61111111111111116</v>
      </c>
    </row>
    <row r="32" spans="1:17" ht="30" customHeight="1" x14ac:dyDescent="0.3">
      <c r="A32" s="96">
        <v>45755</v>
      </c>
      <c r="B32" s="96">
        <v>45784</v>
      </c>
      <c r="C32" s="96">
        <v>45817</v>
      </c>
      <c r="D32" s="95" t="s">
        <v>15</v>
      </c>
      <c r="E32" s="95" t="s">
        <v>107</v>
      </c>
      <c r="F32" s="100">
        <v>13</v>
      </c>
      <c r="G32" s="100"/>
      <c r="H32" s="95" t="s">
        <v>73</v>
      </c>
      <c r="I32" s="95" t="s">
        <v>93</v>
      </c>
      <c r="J32" s="95" t="s">
        <v>79</v>
      </c>
      <c r="K32" s="95" t="s">
        <v>80</v>
      </c>
      <c r="L32" s="96">
        <v>45817</v>
      </c>
      <c r="M32" s="250">
        <v>0.35416666666666669</v>
      </c>
      <c r="N32" s="96">
        <v>45817</v>
      </c>
      <c r="O32" s="96" t="s">
        <v>70</v>
      </c>
      <c r="P32" s="95"/>
      <c r="Q32" s="244">
        <f t="shared" si="0"/>
        <v>0.41666666666666669</v>
      </c>
    </row>
    <row r="33" spans="1:17" ht="30" customHeight="1" x14ac:dyDescent="0.3">
      <c r="A33" s="96"/>
      <c r="B33" s="96"/>
      <c r="C33" s="96">
        <v>45817</v>
      </c>
      <c r="D33" s="95" t="s">
        <v>15</v>
      </c>
      <c r="E33" s="95" t="s">
        <v>107</v>
      </c>
      <c r="F33" s="100">
        <v>14</v>
      </c>
      <c r="G33" s="100"/>
      <c r="H33" s="95" t="s">
        <v>73</v>
      </c>
      <c r="I33" s="95" t="s">
        <v>103</v>
      </c>
      <c r="J33" s="95" t="s">
        <v>57</v>
      </c>
      <c r="K33" s="95" t="s">
        <v>85</v>
      </c>
      <c r="L33" s="96">
        <v>45817</v>
      </c>
      <c r="M33" s="250">
        <v>0.45833333333333331</v>
      </c>
      <c r="N33" s="96">
        <v>45817</v>
      </c>
      <c r="O33" s="96" t="s">
        <v>70</v>
      </c>
      <c r="P33" s="95"/>
      <c r="Q33" s="244">
        <f t="shared" si="0"/>
        <v>0.52083333333333326</v>
      </c>
    </row>
    <row r="34" spans="1:17" ht="30" customHeight="1" x14ac:dyDescent="0.3">
      <c r="A34" s="96"/>
      <c r="B34" s="96"/>
      <c r="C34" s="108">
        <v>45817</v>
      </c>
      <c r="D34" s="106" t="s">
        <v>15</v>
      </c>
      <c r="E34" s="106" t="s">
        <v>108</v>
      </c>
      <c r="F34" s="107">
        <v>10</v>
      </c>
      <c r="G34" s="107"/>
      <c r="H34" s="106" t="s">
        <v>74</v>
      </c>
      <c r="I34" s="106" t="s">
        <v>91</v>
      </c>
      <c r="J34" s="106" t="s">
        <v>75</v>
      </c>
      <c r="K34" s="106" t="s">
        <v>76</v>
      </c>
      <c r="L34" s="108">
        <v>45817</v>
      </c>
      <c r="M34" s="246">
        <v>0.35416666666666669</v>
      </c>
      <c r="N34" s="108">
        <v>45817</v>
      </c>
      <c r="O34" s="108" t="s">
        <v>70</v>
      </c>
      <c r="P34" s="106"/>
      <c r="Q34" s="244">
        <f t="shared" si="0"/>
        <v>0.41666666666666669</v>
      </c>
    </row>
    <row r="35" spans="1:17" ht="30" customHeight="1" x14ac:dyDescent="0.3">
      <c r="A35" s="96"/>
      <c r="B35" s="96"/>
      <c r="C35" s="96">
        <v>45818</v>
      </c>
      <c r="D35" s="95" t="s">
        <v>15</v>
      </c>
      <c r="E35" s="95" t="s">
        <v>107</v>
      </c>
      <c r="F35" s="100">
        <v>14</v>
      </c>
      <c r="G35" s="100"/>
      <c r="H35" s="95" t="s">
        <v>73</v>
      </c>
      <c r="I35" s="95" t="s">
        <v>92</v>
      </c>
      <c r="J35" s="95" t="s">
        <v>118</v>
      </c>
      <c r="K35" s="95" t="s">
        <v>119</v>
      </c>
      <c r="L35" s="96">
        <v>45818</v>
      </c>
      <c r="M35" s="250">
        <v>0.52083333333333337</v>
      </c>
      <c r="N35" s="96">
        <v>45818</v>
      </c>
      <c r="O35" s="96" t="s">
        <v>70</v>
      </c>
      <c r="P35" s="95"/>
      <c r="Q35" s="244">
        <f t="shared" si="0"/>
        <v>0.58333333333333337</v>
      </c>
    </row>
    <row r="36" spans="1:17" ht="42.75" customHeight="1" x14ac:dyDescent="0.3">
      <c r="A36" s="96">
        <v>45755</v>
      </c>
      <c r="B36" s="96">
        <v>45784</v>
      </c>
      <c r="C36" s="96">
        <v>45818</v>
      </c>
      <c r="D36" s="95" t="s">
        <v>15</v>
      </c>
      <c r="E36" s="95" t="s">
        <v>107</v>
      </c>
      <c r="F36" s="100">
        <v>14</v>
      </c>
      <c r="G36" s="100"/>
      <c r="H36" s="95" t="s">
        <v>73</v>
      </c>
      <c r="I36" s="95" t="s">
        <v>94</v>
      </c>
      <c r="J36" s="95" t="s">
        <v>81</v>
      </c>
      <c r="K36" s="95" t="s">
        <v>82</v>
      </c>
      <c r="L36" s="96">
        <v>45818</v>
      </c>
      <c r="M36" s="250">
        <v>0.55208333333333337</v>
      </c>
      <c r="N36" s="96">
        <v>45818</v>
      </c>
      <c r="O36" s="96" t="s">
        <v>70</v>
      </c>
      <c r="P36" s="95"/>
      <c r="Q36" s="244">
        <f t="shared" si="0"/>
        <v>0.61458333333333337</v>
      </c>
    </row>
    <row r="37" spans="1:17" ht="42.75" customHeight="1" x14ac:dyDescent="0.3">
      <c r="A37" s="96"/>
      <c r="B37" s="96"/>
      <c r="C37" s="108">
        <v>45818</v>
      </c>
      <c r="D37" s="106" t="s">
        <v>15</v>
      </c>
      <c r="E37" s="106" t="s">
        <v>108</v>
      </c>
      <c r="F37" s="107">
        <v>10</v>
      </c>
      <c r="G37" s="107">
        <v>1</v>
      </c>
      <c r="H37" s="106" t="s">
        <v>74</v>
      </c>
      <c r="I37" s="106" t="s">
        <v>91</v>
      </c>
      <c r="J37" s="106" t="s">
        <v>78</v>
      </c>
      <c r="K37" s="106" t="s">
        <v>77</v>
      </c>
      <c r="L37" s="108">
        <v>45818</v>
      </c>
      <c r="M37" s="246">
        <v>0.375</v>
      </c>
      <c r="N37" s="108">
        <v>45818</v>
      </c>
      <c r="O37" s="108" t="s">
        <v>70</v>
      </c>
      <c r="P37" s="106"/>
      <c r="Q37" s="244">
        <f t="shared" si="0"/>
        <v>0.4375</v>
      </c>
    </row>
    <row r="38" spans="1:17" ht="42.75" customHeight="1" x14ac:dyDescent="0.3">
      <c r="A38" s="96"/>
      <c r="B38" s="96"/>
      <c r="C38" s="108">
        <v>45818</v>
      </c>
      <c r="D38" s="106" t="s">
        <v>15</v>
      </c>
      <c r="E38" s="106" t="s">
        <v>108</v>
      </c>
      <c r="F38" s="107">
        <v>9</v>
      </c>
      <c r="G38" s="107">
        <v>2</v>
      </c>
      <c r="H38" s="106" t="s">
        <v>74</v>
      </c>
      <c r="I38" s="106" t="s">
        <v>91</v>
      </c>
      <c r="J38" s="106" t="s">
        <v>78</v>
      </c>
      <c r="K38" s="106" t="s">
        <v>77</v>
      </c>
      <c r="L38" s="108">
        <v>45818</v>
      </c>
      <c r="M38" s="246">
        <v>0.51041666666666663</v>
      </c>
      <c r="N38" s="108">
        <v>45818</v>
      </c>
      <c r="O38" s="108" t="s">
        <v>70</v>
      </c>
      <c r="P38" s="106"/>
      <c r="Q38" s="244">
        <f t="shared" si="0"/>
        <v>0.57291666666666663</v>
      </c>
    </row>
    <row r="39" spans="1:17" ht="42.75" customHeight="1" x14ac:dyDescent="0.3">
      <c r="A39" s="96"/>
      <c r="B39" s="96"/>
      <c r="C39" s="96">
        <v>45819</v>
      </c>
      <c r="D39" s="95" t="s">
        <v>15</v>
      </c>
      <c r="E39" s="95" t="s">
        <v>107</v>
      </c>
      <c r="F39" s="100">
        <v>15</v>
      </c>
      <c r="G39" s="100"/>
      <c r="H39" s="95" t="s">
        <v>73</v>
      </c>
      <c r="I39" s="95" t="s">
        <v>94</v>
      </c>
      <c r="J39" s="95" t="s">
        <v>81</v>
      </c>
      <c r="K39" s="95" t="s">
        <v>82</v>
      </c>
      <c r="L39" s="96">
        <v>45819</v>
      </c>
      <c r="M39" s="250">
        <v>0.64583333333333337</v>
      </c>
      <c r="N39" s="96">
        <v>45819</v>
      </c>
      <c r="O39" s="96" t="s">
        <v>70</v>
      </c>
      <c r="P39" s="95"/>
      <c r="Q39" s="244">
        <f t="shared" si="0"/>
        <v>0.70833333333333337</v>
      </c>
    </row>
    <row r="40" spans="1:17" ht="42.75" customHeight="1" x14ac:dyDescent="0.3">
      <c r="A40" s="96"/>
      <c r="B40" s="96"/>
      <c r="C40" s="96">
        <v>45819</v>
      </c>
      <c r="D40" s="95" t="s">
        <v>15</v>
      </c>
      <c r="E40" s="95" t="s">
        <v>107</v>
      </c>
      <c r="F40" s="100">
        <v>13</v>
      </c>
      <c r="G40" s="100"/>
      <c r="H40" s="95" t="s">
        <v>73</v>
      </c>
      <c r="I40" s="95" t="s">
        <v>104</v>
      </c>
      <c r="J40" s="95" t="s">
        <v>86</v>
      </c>
      <c r="K40" s="95" t="s">
        <v>87</v>
      </c>
      <c r="L40" s="96">
        <v>45819</v>
      </c>
      <c r="M40" s="250">
        <v>0.39583333333333331</v>
      </c>
      <c r="N40" s="96">
        <v>45819</v>
      </c>
      <c r="O40" s="96" t="s">
        <v>70</v>
      </c>
      <c r="P40" s="95"/>
      <c r="Q40" s="244">
        <f t="shared" si="0"/>
        <v>0.45833333333333331</v>
      </c>
    </row>
    <row r="41" spans="1:17" ht="42.75" customHeight="1" x14ac:dyDescent="0.3">
      <c r="A41" s="96"/>
      <c r="B41" s="96"/>
      <c r="C41" s="96">
        <v>45819</v>
      </c>
      <c r="D41" s="95" t="s">
        <v>15</v>
      </c>
      <c r="E41" s="95" t="s">
        <v>107</v>
      </c>
      <c r="F41" s="100">
        <v>14</v>
      </c>
      <c r="G41" s="100"/>
      <c r="H41" s="95" t="s">
        <v>73</v>
      </c>
      <c r="I41" s="95" t="s">
        <v>93</v>
      </c>
      <c r="J41" s="95" t="s">
        <v>79</v>
      </c>
      <c r="K41" s="95" t="s">
        <v>80</v>
      </c>
      <c r="L41" s="96">
        <v>45819</v>
      </c>
      <c r="M41" s="250">
        <v>0.35416666666666669</v>
      </c>
      <c r="N41" s="96">
        <v>45819</v>
      </c>
      <c r="O41" s="96" t="s">
        <v>70</v>
      </c>
      <c r="P41" s="95"/>
      <c r="Q41" s="244">
        <f t="shared" si="0"/>
        <v>0.41666666666666669</v>
      </c>
    </row>
    <row r="42" spans="1:17" ht="42.75" customHeight="1" x14ac:dyDescent="0.3">
      <c r="A42" s="96"/>
      <c r="B42" s="96"/>
      <c r="C42" s="108">
        <v>45819</v>
      </c>
      <c r="D42" s="106" t="s">
        <v>15</v>
      </c>
      <c r="E42" s="106" t="s">
        <v>108</v>
      </c>
      <c r="F42" s="107">
        <v>10</v>
      </c>
      <c r="G42" s="107">
        <v>1</v>
      </c>
      <c r="H42" s="106" t="s">
        <v>74</v>
      </c>
      <c r="I42" s="106" t="s">
        <v>91</v>
      </c>
      <c r="J42" s="106" t="s">
        <v>61</v>
      </c>
      <c r="K42" s="106" t="s">
        <v>58</v>
      </c>
      <c r="L42" s="108">
        <v>45819</v>
      </c>
      <c r="M42" s="246">
        <v>0.375</v>
      </c>
      <c r="N42" s="108">
        <v>45819</v>
      </c>
      <c r="O42" s="108" t="s">
        <v>70</v>
      </c>
      <c r="P42" s="106"/>
      <c r="Q42" s="244">
        <f t="shared" si="0"/>
        <v>0.4375</v>
      </c>
    </row>
    <row r="43" spans="1:17" ht="42.75" customHeight="1" x14ac:dyDescent="0.3">
      <c r="A43" s="96"/>
      <c r="B43" s="96"/>
      <c r="C43" s="108">
        <v>45819</v>
      </c>
      <c r="D43" s="106" t="s">
        <v>15</v>
      </c>
      <c r="E43" s="106" t="s">
        <v>108</v>
      </c>
      <c r="F43" s="107">
        <v>10</v>
      </c>
      <c r="G43" s="107">
        <v>2</v>
      </c>
      <c r="H43" s="106" t="s">
        <v>74</v>
      </c>
      <c r="I43" s="106" t="s">
        <v>91</v>
      </c>
      <c r="J43" s="106" t="s">
        <v>61</v>
      </c>
      <c r="K43" s="106" t="s">
        <v>58</v>
      </c>
      <c r="L43" s="108">
        <v>45819</v>
      </c>
      <c r="M43" s="246">
        <v>0.52083333333333337</v>
      </c>
      <c r="N43" s="108">
        <v>45819</v>
      </c>
      <c r="O43" s="108" t="s">
        <v>70</v>
      </c>
      <c r="P43" s="106"/>
      <c r="Q43" s="244">
        <f t="shared" si="0"/>
        <v>0.58333333333333337</v>
      </c>
    </row>
    <row r="44" spans="1:17" ht="42.75" customHeight="1" x14ac:dyDescent="0.3">
      <c r="A44" s="96"/>
      <c r="B44" s="96"/>
      <c r="C44" s="101">
        <v>45820</v>
      </c>
      <c r="D44" s="251" t="s">
        <v>15</v>
      </c>
      <c r="E44" s="251" t="s">
        <v>107</v>
      </c>
      <c r="F44" s="252">
        <v>15</v>
      </c>
      <c r="G44" s="252"/>
      <c r="H44" s="251" t="s">
        <v>73</v>
      </c>
      <c r="I44" s="251" t="s">
        <v>92</v>
      </c>
      <c r="J44" s="251" t="s">
        <v>118</v>
      </c>
      <c r="K44" s="251" t="s">
        <v>119</v>
      </c>
      <c r="L44" s="101">
        <v>45820</v>
      </c>
      <c r="M44" s="253">
        <v>0.52083333333333337</v>
      </c>
      <c r="N44" s="101">
        <v>45820</v>
      </c>
      <c r="O44" s="101" t="s">
        <v>70</v>
      </c>
      <c r="P44" s="251"/>
      <c r="Q44" s="244">
        <f t="shared" si="0"/>
        <v>0.58333333333333337</v>
      </c>
    </row>
    <row r="45" spans="1:17" ht="30" customHeight="1" x14ac:dyDescent="0.3">
      <c r="A45" s="96">
        <v>45755</v>
      </c>
      <c r="B45" s="108">
        <v>45784</v>
      </c>
      <c r="C45" s="96">
        <v>45820</v>
      </c>
      <c r="D45" s="95" t="s">
        <v>15</v>
      </c>
      <c r="E45" s="95" t="s">
        <v>107</v>
      </c>
      <c r="F45" s="100">
        <v>15</v>
      </c>
      <c r="G45" s="100"/>
      <c r="H45" s="95" t="s">
        <v>73</v>
      </c>
      <c r="I45" s="95" t="s">
        <v>95</v>
      </c>
      <c r="J45" s="95" t="s">
        <v>56</v>
      </c>
      <c r="K45" s="95" t="s">
        <v>83</v>
      </c>
      <c r="L45" s="96">
        <v>45820</v>
      </c>
      <c r="M45" s="250">
        <v>0.51388888888888884</v>
      </c>
      <c r="N45" s="96">
        <v>45820</v>
      </c>
      <c r="O45" s="96" t="s">
        <v>70</v>
      </c>
      <c r="P45" s="95"/>
      <c r="Q45" s="244">
        <f t="shared" si="0"/>
        <v>0.57638888888888884</v>
      </c>
    </row>
    <row r="46" spans="1:17" ht="30" customHeight="1" x14ac:dyDescent="0.3">
      <c r="A46" s="96"/>
      <c r="B46" s="108"/>
      <c r="C46" s="96">
        <v>45820</v>
      </c>
      <c r="D46" s="95" t="s">
        <v>15</v>
      </c>
      <c r="E46" s="95" t="s">
        <v>107</v>
      </c>
      <c r="F46" s="100">
        <v>14</v>
      </c>
      <c r="G46" s="100"/>
      <c r="H46" s="95" t="s">
        <v>73</v>
      </c>
      <c r="I46" s="95" t="s">
        <v>90</v>
      </c>
      <c r="J46" s="95" t="s">
        <v>55</v>
      </c>
      <c r="K46" s="95" t="s">
        <v>63</v>
      </c>
      <c r="L46" s="96">
        <v>45820</v>
      </c>
      <c r="M46" s="250">
        <v>0.58333333333333337</v>
      </c>
      <c r="N46" s="96">
        <v>45820</v>
      </c>
      <c r="O46" s="96" t="s">
        <v>70</v>
      </c>
      <c r="P46" s="95"/>
      <c r="Q46" s="244">
        <f t="shared" si="0"/>
        <v>0.64583333333333337</v>
      </c>
    </row>
    <row r="47" spans="1:17" ht="30" customHeight="1" x14ac:dyDescent="0.3">
      <c r="A47" s="96"/>
      <c r="B47" s="108"/>
      <c r="C47" s="96">
        <v>45820</v>
      </c>
      <c r="D47" s="95" t="s">
        <v>15</v>
      </c>
      <c r="E47" s="95" t="s">
        <v>107</v>
      </c>
      <c r="F47" s="100">
        <v>14</v>
      </c>
      <c r="G47" s="100"/>
      <c r="H47" s="95" t="s">
        <v>73</v>
      </c>
      <c r="I47" s="95" t="s">
        <v>104</v>
      </c>
      <c r="J47" s="95" t="s">
        <v>86</v>
      </c>
      <c r="K47" s="95" t="s">
        <v>87</v>
      </c>
      <c r="L47" s="96">
        <v>45820</v>
      </c>
      <c r="M47" s="250">
        <v>0.60416666666666663</v>
      </c>
      <c r="N47" s="96">
        <v>45820</v>
      </c>
      <c r="O47" s="96" t="s">
        <v>70</v>
      </c>
      <c r="P47" s="95"/>
      <c r="Q47" s="244">
        <f t="shared" si="0"/>
        <v>0.66666666666666663</v>
      </c>
    </row>
    <row r="48" spans="1:17" ht="30" customHeight="1" x14ac:dyDescent="0.3">
      <c r="A48" s="96"/>
      <c r="B48" s="108"/>
      <c r="C48" s="96">
        <v>45820</v>
      </c>
      <c r="D48" s="95" t="s">
        <v>15</v>
      </c>
      <c r="E48" s="95" t="s">
        <v>107</v>
      </c>
      <c r="F48" s="100">
        <v>15</v>
      </c>
      <c r="G48" s="100"/>
      <c r="H48" s="95" t="s">
        <v>73</v>
      </c>
      <c r="I48" s="95" t="s">
        <v>103</v>
      </c>
      <c r="J48" s="95" t="s">
        <v>57</v>
      </c>
      <c r="K48" s="95" t="s">
        <v>85</v>
      </c>
      <c r="L48" s="96">
        <v>45820</v>
      </c>
      <c r="M48" s="250">
        <v>0.45833333333333331</v>
      </c>
      <c r="N48" s="96">
        <v>45820</v>
      </c>
      <c r="O48" s="96" t="s">
        <v>70</v>
      </c>
      <c r="P48" s="95"/>
      <c r="Q48" s="244">
        <f t="shared" si="0"/>
        <v>0.52083333333333326</v>
      </c>
    </row>
    <row r="49" spans="1:17" ht="30" customHeight="1" x14ac:dyDescent="0.3">
      <c r="A49" s="96"/>
      <c r="B49" s="108"/>
      <c r="C49" s="108">
        <v>45820</v>
      </c>
      <c r="D49" s="106" t="s">
        <v>15</v>
      </c>
      <c r="E49" s="106" t="s">
        <v>108</v>
      </c>
      <c r="F49" s="107">
        <v>11</v>
      </c>
      <c r="G49" s="107"/>
      <c r="H49" s="106" t="s">
        <v>74</v>
      </c>
      <c r="I49" s="106" t="s">
        <v>91</v>
      </c>
      <c r="J49" s="106" t="s">
        <v>62</v>
      </c>
      <c r="K49" s="106" t="s">
        <v>59</v>
      </c>
      <c r="L49" s="108">
        <v>45820</v>
      </c>
      <c r="M49" s="247">
        <v>0.35416666666666669</v>
      </c>
      <c r="N49" s="108">
        <v>45820</v>
      </c>
      <c r="O49" s="108" t="s">
        <v>70</v>
      </c>
      <c r="P49" s="106"/>
      <c r="Q49" s="244">
        <f t="shared" si="0"/>
        <v>0.41666666666666669</v>
      </c>
    </row>
    <row r="50" spans="1:17" ht="30" customHeight="1" x14ac:dyDescent="0.3">
      <c r="A50" s="96"/>
      <c r="B50" s="108"/>
      <c r="C50" s="96">
        <v>45821</v>
      </c>
      <c r="D50" s="95" t="s">
        <v>15</v>
      </c>
      <c r="E50" s="95" t="s">
        <v>107</v>
      </c>
      <c r="F50" s="100">
        <v>15</v>
      </c>
      <c r="G50" s="100"/>
      <c r="H50" s="95" t="s">
        <v>73</v>
      </c>
      <c r="I50" s="95" t="s">
        <v>90</v>
      </c>
      <c r="J50" s="95" t="s">
        <v>55</v>
      </c>
      <c r="K50" s="95" t="s">
        <v>63</v>
      </c>
      <c r="L50" s="96">
        <v>45821</v>
      </c>
      <c r="M50" s="250">
        <v>0.70833333333333337</v>
      </c>
      <c r="N50" s="96">
        <v>45821</v>
      </c>
      <c r="O50" s="96" t="s">
        <v>70</v>
      </c>
      <c r="P50" s="95"/>
      <c r="Q50" s="244">
        <f t="shared" si="0"/>
        <v>0.77083333333333337</v>
      </c>
    </row>
    <row r="51" spans="1:17" ht="30" customHeight="1" x14ac:dyDescent="0.3">
      <c r="A51" s="96"/>
      <c r="B51" s="108"/>
      <c r="C51" s="96">
        <v>45821</v>
      </c>
      <c r="D51" s="95" t="s">
        <v>15</v>
      </c>
      <c r="E51" s="95" t="s">
        <v>107</v>
      </c>
      <c r="F51" s="100">
        <v>15</v>
      </c>
      <c r="G51" s="100"/>
      <c r="H51" s="95" t="s">
        <v>73</v>
      </c>
      <c r="I51" s="95" t="s">
        <v>104</v>
      </c>
      <c r="J51" s="95" t="s">
        <v>86</v>
      </c>
      <c r="K51" s="95" t="s">
        <v>87</v>
      </c>
      <c r="L51" s="96">
        <v>45821</v>
      </c>
      <c r="M51" s="250">
        <v>0.35416666666666669</v>
      </c>
      <c r="N51" s="96">
        <v>45821</v>
      </c>
      <c r="O51" s="96" t="s">
        <v>70</v>
      </c>
      <c r="P51" s="95"/>
      <c r="Q51" s="244">
        <f t="shared" si="0"/>
        <v>0.41666666666666669</v>
      </c>
    </row>
    <row r="52" spans="1:17" ht="30" customHeight="1" x14ac:dyDescent="0.3">
      <c r="A52" s="96"/>
      <c r="B52" s="108"/>
      <c r="C52" s="96">
        <v>45821</v>
      </c>
      <c r="D52" s="95" t="s">
        <v>15</v>
      </c>
      <c r="E52" s="95" t="s">
        <v>107</v>
      </c>
      <c r="F52" s="100">
        <v>15</v>
      </c>
      <c r="G52" s="100"/>
      <c r="H52" s="95" t="s">
        <v>73</v>
      </c>
      <c r="I52" s="95" t="s">
        <v>93</v>
      </c>
      <c r="J52" s="95" t="s">
        <v>79</v>
      </c>
      <c r="K52" s="95" t="s">
        <v>80</v>
      </c>
      <c r="L52" s="96">
        <v>45821</v>
      </c>
      <c r="M52" s="250">
        <v>0.35416666666666669</v>
      </c>
      <c r="N52" s="96">
        <v>45821</v>
      </c>
      <c r="O52" s="96" t="s">
        <v>70</v>
      </c>
      <c r="P52" s="95"/>
      <c r="Q52" s="244">
        <f t="shared" si="0"/>
        <v>0.41666666666666669</v>
      </c>
    </row>
    <row r="53" spans="1:17" ht="30" customHeight="1" x14ac:dyDescent="0.3">
      <c r="A53" s="96"/>
      <c r="B53" s="108"/>
      <c r="C53" s="108">
        <v>45821</v>
      </c>
      <c r="D53" s="106" t="s">
        <v>15</v>
      </c>
      <c r="E53" s="106" t="s">
        <v>108</v>
      </c>
      <c r="F53" s="107">
        <v>10</v>
      </c>
      <c r="G53" s="107">
        <v>2</v>
      </c>
      <c r="H53" s="106" t="s">
        <v>74</v>
      </c>
      <c r="I53" s="106" t="s">
        <v>91</v>
      </c>
      <c r="J53" s="106" t="s">
        <v>78</v>
      </c>
      <c r="K53" s="106" t="s">
        <v>77</v>
      </c>
      <c r="L53" s="108">
        <v>45821</v>
      </c>
      <c r="M53" s="246">
        <v>0.35416666666666669</v>
      </c>
      <c r="N53" s="108">
        <v>45821</v>
      </c>
      <c r="O53" s="108" t="s">
        <v>70</v>
      </c>
      <c r="P53" s="106"/>
      <c r="Q53" s="244">
        <f t="shared" si="0"/>
        <v>0.41666666666666669</v>
      </c>
    </row>
    <row r="54" spans="1:17" ht="30" customHeight="1" x14ac:dyDescent="0.3">
      <c r="A54" s="96"/>
      <c r="B54" s="108"/>
      <c r="C54" s="108">
        <v>45824</v>
      </c>
      <c r="D54" s="106" t="s">
        <v>15</v>
      </c>
      <c r="E54" s="106" t="s">
        <v>108</v>
      </c>
      <c r="F54" s="107">
        <v>11</v>
      </c>
      <c r="G54" s="107"/>
      <c r="H54" s="106" t="s">
        <v>74</v>
      </c>
      <c r="I54" s="106" t="s">
        <v>91</v>
      </c>
      <c r="J54" s="106" t="s">
        <v>75</v>
      </c>
      <c r="K54" s="106" t="s">
        <v>76</v>
      </c>
      <c r="L54" s="108">
        <v>45824</v>
      </c>
      <c r="M54" s="246">
        <v>0.35416666666666669</v>
      </c>
      <c r="N54" s="108">
        <v>45824</v>
      </c>
      <c r="O54" s="108" t="s">
        <v>70</v>
      </c>
      <c r="P54" s="106"/>
      <c r="Q54" s="244">
        <f t="shared" si="0"/>
        <v>0.41666666666666669</v>
      </c>
    </row>
    <row r="55" spans="1:17" ht="30" customHeight="1" x14ac:dyDescent="0.3">
      <c r="A55" s="96"/>
      <c r="B55" s="108"/>
      <c r="C55" s="108">
        <v>45825</v>
      </c>
      <c r="D55" s="106" t="s">
        <v>15</v>
      </c>
      <c r="E55" s="106" t="s">
        <v>108</v>
      </c>
      <c r="F55" s="107">
        <v>11</v>
      </c>
      <c r="G55" s="107">
        <v>1</v>
      </c>
      <c r="H55" s="106" t="s">
        <v>74</v>
      </c>
      <c r="I55" s="106" t="s">
        <v>91</v>
      </c>
      <c r="J55" s="106" t="s">
        <v>78</v>
      </c>
      <c r="K55" s="106" t="s">
        <v>77</v>
      </c>
      <c r="L55" s="108">
        <v>45825</v>
      </c>
      <c r="M55" s="246">
        <v>0.375</v>
      </c>
      <c r="N55" s="108">
        <v>45825</v>
      </c>
      <c r="O55" s="108" t="s">
        <v>70</v>
      </c>
      <c r="P55" s="106"/>
      <c r="Q55" s="244">
        <f t="shared" si="0"/>
        <v>0.4375</v>
      </c>
    </row>
    <row r="56" spans="1:17" ht="30" customHeight="1" x14ac:dyDescent="0.3">
      <c r="A56" s="96"/>
      <c r="B56" s="108"/>
      <c r="C56" s="108">
        <v>45825</v>
      </c>
      <c r="D56" s="106" t="s">
        <v>15</v>
      </c>
      <c r="E56" s="106" t="s">
        <v>108</v>
      </c>
      <c r="F56" s="107">
        <v>11</v>
      </c>
      <c r="G56" s="107">
        <v>2</v>
      </c>
      <c r="H56" s="106" t="s">
        <v>74</v>
      </c>
      <c r="I56" s="106" t="s">
        <v>91</v>
      </c>
      <c r="J56" s="106" t="s">
        <v>78</v>
      </c>
      <c r="K56" s="106" t="s">
        <v>77</v>
      </c>
      <c r="L56" s="108">
        <v>45825</v>
      </c>
      <c r="M56" s="246">
        <v>0.51041666666666663</v>
      </c>
      <c r="N56" s="108">
        <v>45825</v>
      </c>
      <c r="O56" s="108" t="s">
        <v>70</v>
      </c>
      <c r="P56" s="106"/>
      <c r="Q56" s="244">
        <f t="shared" si="0"/>
        <v>0.57291666666666663</v>
      </c>
    </row>
    <row r="57" spans="1:17" ht="30" customHeight="1" x14ac:dyDescent="0.3">
      <c r="A57" s="96"/>
      <c r="B57" s="108"/>
      <c r="C57" s="108">
        <v>45826</v>
      </c>
      <c r="D57" s="106" t="s">
        <v>15</v>
      </c>
      <c r="E57" s="106" t="s">
        <v>108</v>
      </c>
      <c r="F57" s="107">
        <v>11</v>
      </c>
      <c r="G57" s="107">
        <v>1</v>
      </c>
      <c r="H57" s="106" t="s">
        <v>74</v>
      </c>
      <c r="I57" s="106" t="s">
        <v>91</v>
      </c>
      <c r="J57" s="106" t="s">
        <v>61</v>
      </c>
      <c r="K57" s="106" t="s">
        <v>58</v>
      </c>
      <c r="L57" s="108">
        <v>45826</v>
      </c>
      <c r="M57" s="246">
        <v>0.375</v>
      </c>
      <c r="N57" s="108">
        <v>45826</v>
      </c>
      <c r="O57" s="108" t="s">
        <v>70</v>
      </c>
      <c r="P57" s="106"/>
      <c r="Q57" s="244">
        <f t="shared" si="0"/>
        <v>0.4375</v>
      </c>
    </row>
    <row r="58" spans="1:17" ht="30" customHeight="1" x14ac:dyDescent="0.3">
      <c r="A58" s="96"/>
      <c r="B58" s="108"/>
      <c r="C58" s="108">
        <v>45826</v>
      </c>
      <c r="D58" s="106" t="s">
        <v>15</v>
      </c>
      <c r="E58" s="106" t="s">
        <v>108</v>
      </c>
      <c r="F58" s="107">
        <v>11</v>
      </c>
      <c r="G58" s="107">
        <v>2</v>
      </c>
      <c r="H58" s="106" t="s">
        <v>74</v>
      </c>
      <c r="I58" s="106" t="s">
        <v>91</v>
      </c>
      <c r="J58" s="106" t="s">
        <v>61</v>
      </c>
      <c r="K58" s="106" t="s">
        <v>58</v>
      </c>
      <c r="L58" s="108">
        <v>45826</v>
      </c>
      <c r="M58" s="246">
        <v>0.52083333333333337</v>
      </c>
      <c r="N58" s="108">
        <v>45826</v>
      </c>
      <c r="O58" s="108" t="s">
        <v>70</v>
      </c>
      <c r="P58" s="106"/>
      <c r="Q58" s="244">
        <f t="shared" si="0"/>
        <v>0.58333333333333337</v>
      </c>
    </row>
    <row r="59" spans="1:17" ht="30" customHeight="1" x14ac:dyDescent="0.3">
      <c r="A59" s="96"/>
      <c r="B59" s="108"/>
      <c r="C59" s="108">
        <v>45828</v>
      </c>
      <c r="D59" s="106" t="s">
        <v>15</v>
      </c>
      <c r="E59" s="106" t="s">
        <v>108</v>
      </c>
      <c r="F59" s="107">
        <v>12</v>
      </c>
      <c r="G59" s="107"/>
      <c r="H59" s="106" t="s">
        <v>74</v>
      </c>
      <c r="I59" s="106" t="s">
        <v>91</v>
      </c>
      <c r="J59" s="106" t="s">
        <v>62</v>
      </c>
      <c r="K59" s="106" t="s">
        <v>59</v>
      </c>
      <c r="L59" s="108">
        <v>45828</v>
      </c>
      <c r="M59" s="247">
        <v>0.35416666666666669</v>
      </c>
      <c r="N59" s="108">
        <v>45828</v>
      </c>
      <c r="O59" s="108" t="s">
        <v>70</v>
      </c>
      <c r="P59" s="106"/>
      <c r="Q59" s="244">
        <f t="shared" si="0"/>
        <v>0.41666666666666669</v>
      </c>
    </row>
    <row r="60" spans="1:17" ht="30" customHeight="1" x14ac:dyDescent="0.3">
      <c r="A60" s="96"/>
      <c r="B60" s="108"/>
      <c r="C60" s="108">
        <v>45831</v>
      </c>
      <c r="D60" s="106" t="s">
        <v>15</v>
      </c>
      <c r="E60" s="106" t="s">
        <v>108</v>
      </c>
      <c r="F60" s="107">
        <v>12</v>
      </c>
      <c r="G60" s="107"/>
      <c r="H60" s="106" t="s">
        <v>74</v>
      </c>
      <c r="I60" s="106" t="s">
        <v>91</v>
      </c>
      <c r="J60" s="106" t="s">
        <v>75</v>
      </c>
      <c r="K60" s="106" t="s">
        <v>76</v>
      </c>
      <c r="L60" s="108">
        <v>45831</v>
      </c>
      <c r="M60" s="246">
        <v>0.35416666666666669</v>
      </c>
      <c r="N60" s="108">
        <v>45831</v>
      </c>
      <c r="O60" s="108" t="s">
        <v>70</v>
      </c>
      <c r="P60" s="106"/>
      <c r="Q60" s="244">
        <f t="shared" si="0"/>
        <v>0.41666666666666669</v>
      </c>
    </row>
    <row r="61" spans="1:17" ht="30" customHeight="1" x14ac:dyDescent="0.3">
      <c r="A61" s="96"/>
      <c r="B61" s="108"/>
      <c r="C61" s="108">
        <v>45832</v>
      </c>
      <c r="D61" s="106" t="s">
        <v>15</v>
      </c>
      <c r="E61" s="106" t="s">
        <v>108</v>
      </c>
      <c r="F61" s="107">
        <v>12</v>
      </c>
      <c r="G61" s="107">
        <v>1</v>
      </c>
      <c r="H61" s="106" t="s">
        <v>74</v>
      </c>
      <c r="I61" s="106" t="s">
        <v>91</v>
      </c>
      <c r="J61" s="106" t="s">
        <v>78</v>
      </c>
      <c r="K61" s="106" t="s">
        <v>77</v>
      </c>
      <c r="L61" s="108">
        <v>45832</v>
      </c>
      <c r="M61" s="246">
        <v>0.375</v>
      </c>
      <c r="N61" s="108">
        <v>45832</v>
      </c>
      <c r="O61" s="108" t="s">
        <v>70</v>
      </c>
      <c r="P61" s="106"/>
      <c r="Q61" s="244">
        <f t="shared" si="0"/>
        <v>0.4375</v>
      </c>
    </row>
    <row r="62" spans="1:17" ht="30" customHeight="1" x14ac:dyDescent="0.3">
      <c r="A62" s="96"/>
      <c r="B62" s="108"/>
      <c r="C62" s="108">
        <v>45832</v>
      </c>
      <c r="D62" s="106" t="s">
        <v>15</v>
      </c>
      <c r="E62" s="106" t="s">
        <v>108</v>
      </c>
      <c r="F62" s="107">
        <v>12</v>
      </c>
      <c r="G62" s="107">
        <v>2</v>
      </c>
      <c r="H62" s="106" t="s">
        <v>74</v>
      </c>
      <c r="I62" s="106" t="s">
        <v>91</v>
      </c>
      <c r="J62" s="106" t="s">
        <v>78</v>
      </c>
      <c r="K62" s="106" t="s">
        <v>77</v>
      </c>
      <c r="L62" s="108">
        <v>45832</v>
      </c>
      <c r="M62" s="246">
        <v>0.51041666666666663</v>
      </c>
      <c r="N62" s="108">
        <v>45832</v>
      </c>
      <c r="O62" s="108" t="s">
        <v>70</v>
      </c>
      <c r="P62" s="106"/>
      <c r="Q62" s="244">
        <f t="shared" si="0"/>
        <v>0.57291666666666663</v>
      </c>
    </row>
    <row r="63" spans="1:17" ht="30" customHeight="1" x14ac:dyDescent="0.3">
      <c r="A63" s="96"/>
      <c r="B63" s="108"/>
      <c r="C63" s="108">
        <v>45834</v>
      </c>
      <c r="D63" s="106" t="s">
        <v>15</v>
      </c>
      <c r="E63" s="106" t="s">
        <v>108</v>
      </c>
      <c r="F63" s="107">
        <v>13</v>
      </c>
      <c r="G63" s="107"/>
      <c r="H63" s="106" t="s">
        <v>74</v>
      </c>
      <c r="I63" s="106" t="s">
        <v>91</v>
      </c>
      <c r="J63" s="106" t="s">
        <v>62</v>
      </c>
      <c r="K63" s="106" t="s">
        <v>59</v>
      </c>
      <c r="L63" s="108">
        <v>45834</v>
      </c>
      <c r="M63" s="247">
        <v>0.35416666666666669</v>
      </c>
      <c r="N63" s="108">
        <v>45834</v>
      </c>
      <c r="O63" s="108" t="s">
        <v>70</v>
      </c>
      <c r="P63" s="106"/>
      <c r="Q63" s="244">
        <f t="shared" si="0"/>
        <v>0.41666666666666669</v>
      </c>
    </row>
    <row r="64" spans="1:17" ht="30" customHeight="1" x14ac:dyDescent="0.3">
      <c r="A64" s="96"/>
      <c r="B64" s="108"/>
      <c r="C64" s="108">
        <v>45835</v>
      </c>
      <c r="D64" s="106" t="s">
        <v>15</v>
      </c>
      <c r="E64" s="106" t="s">
        <v>108</v>
      </c>
      <c r="F64" s="107">
        <v>12</v>
      </c>
      <c r="G64" s="107">
        <v>1</v>
      </c>
      <c r="H64" s="106" t="s">
        <v>74</v>
      </c>
      <c r="I64" s="106" t="s">
        <v>91</v>
      </c>
      <c r="J64" s="106" t="s">
        <v>61</v>
      </c>
      <c r="K64" s="106" t="s">
        <v>58</v>
      </c>
      <c r="L64" s="108">
        <v>45835</v>
      </c>
      <c r="M64" s="246">
        <v>0.375</v>
      </c>
      <c r="N64" s="108">
        <v>45835</v>
      </c>
      <c r="O64" s="108" t="s">
        <v>70</v>
      </c>
      <c r="P64" s="106"/>
      <c r="Q64" s="244">
        <f t="shared" si="0"/>
        <v>0.4375</v>
      </c>
    </row>
    <row r="65" spans="1:17" ht="30" customHeight="1" x14ac:dyDescent="0.3">
      <c r="A65" s="96"/>
      <c r="B65" s="96"/>
      <c r="C65" s="108">
        <v>45835</v>
      </c>
      <c r="D65" s="106" t="s">
        <v>15</v>
      </c>
      <c r="E65" s="106" t="s">
        <v>108</v>
      </c>
      <c r="F65" s="107">
        <v>12</v>
      </c>
      <c r="G65" s="107">
        <v>2</v>
      </c>
      <c r="H65" s="106" t="s">
        <v>74</v>
      </c>
      <c r="I65" s="106" t="s">
        <v>91</v>
      </c>
      <c r="J65" s="106" t="s">
        <v>61</v>
      </c>
      <c r="K65" s="106" t="s">
        <v>58</v>
      </c>
      <c r="L65" s="108">
        <v>45835</v>
      </c>
      <c r="M65" s="246">
        <v>0.52083333333333337</v>
      </c>
      <c r="N65" s="108">
        <v>45835</v>
      </c>
      <c r="O65" s="108" t="s">
        <v>70</v>
      </c>
      <c r="P65" s="106"/>
      <c r="Q65" s="244">
        <f t="shared" si="0"/>
        <v>0.58333333333333337</v>
      </c>
    </row>
    <row r="66" spans="1:17" ht="122.25" customHeight="1" x14ac:dyDescent="0.3">
      <c r="A66" s="96">
        <v>45776</v>
      </c>
      <c r="B66" s="96">
        <v>45806</v>
      </c>
      <c r="C66" s="134"/>
      <c r="D66" s="131" t="s">
        <v>17</v>
      </c>
      <c r="E66" s="133" t="s">
        <v>148</v>
      </c>
      <c r="F66" s="241">
        <v>2</v>
      </c>
      <c r="G66" s="241"/>
      <c r="H66" s="133" t="s">
        <v>73</v>
      </c>
      <c r="I66" s="133" t="s">
        <v>264</v>
      </c>
      <c r="J66" s="133" t="s">
        <v>257</v>
      </c>
      <c r="K66" s="133" t="s">
        <v>258</v>
      </c>
      <c r="L66" s="242">
        <v>45822</v>
      </c>
      <c r="M66" s="249">
        <v>0.375</v>
      </c>
      <c r="N66" s="242">
        <v>45822</v>
      </c>
      <c r="O66" s="243">
        <v>0.54166666666666663</v>
      </c>
      <c r="P66" s="133" t="s">
        <v>259</v>
      </c>
      <c r="Q66" s="244"/>
    </row>
    <row r="67" spans="1:17" ht="122.25" customHeight="1" x14ac:dyDescent="0.3">
      <c r="A67" s="96"/>
      <c r="B67" s="96"/>
      <c r="C67" s="134"/>
      <c r="D67" s="131" t="s">
        <v>17</v>
      </c>
      <c r="E67" s="133" t="s">
        <v>148</v>
      </c>
      <c r="F67" s="241">
        <v>3</v>
      </c>
      <c r="G67" s="241"/>
      <c r="H67" s="133" t="s">
        <v>73</v>
      </c>
      <c r="I67" s="133" t="s">
        <v>264</v>
      </c>
      <c r="J67" s="133" t="s">
        <v>260</v>
      </c>
      <c r="K67" s="133" t="s">
        <v>261</v>
      </c>
      <c r="L67" s="242">
        <v>45822</v>
      </c>
      <c r="M67" s="249">
        <v>0.41666666666666669</v>
      </c>
      <c r="N67" s="242">
        <v>45822</v>
      </c>
      <c r="O67" s="243">
        <v>0.5</v>
      </c>
      <c r="P67" s="133" t="s">
        <v>259</v>
      </c>
      <c r="Q67" s="244"/>
    </row>
    <row r="68" spans="1:17" ht="129" customHeight="1" x14ac:dyDescent="0.3">
      <c r="A68" s="96">
        <v>45776</v>
      </c>
      <c r="B68" s="96">
        <v>45806</v>
      </c>
      <c r="C68" s="134"/>
      <c r="D68" s="131" t="s">
        <v>17</v>
      </c>
      <c r="E68" s="133" t="s">
        <v>148</v>
      </c>
      <c r="F68" s="241">
        <v>4</v>
      </c>
      <c r="G68" s="241"/>
      <c r="H68" s="133" t="s">
        <v>73</v>
      </c>
      <c r="I68" s="133" t="s">
        <v>264</v>
      </c>
      <c r="J68" s="133" t="s">
        <v>265</v>
      </c>
      <c r="K68" s="133" t="s">
        <v>269</v>
      </c>
      <c r="L68" s="242">
        <v>45829</v>
      </c>
      <c r="M68" s="249">
        <v>0.54166666666666663</v>
      </c>
      <c r="N68" s="242">
        <v>45829</v>
      </c>
      <c r="O68" s="243">
        <v>0.625</v>
      </c>
      <c r="P68" s="133" t="s">
        <v>259</v>
      </c>
      <c r="Q68" s="244"/>
    </row>
    <row r="69" spans="1:17" ht="142.19999999999999" customHeight="1" x14ac:dyDescent="0.3">
      <c r="A69" s="94" t="e" vm="1">
        <v>#VALUE!</v>
      </c>
      <c r="D69" s="302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</row>
    <row r="70" spans="1:17" ht="65.400000000000006" customHeight="1" x14ac:dyDescent="0.3">
      <c r="D70" s="304" t="s">
        <v>243</v>
      </c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</row>
  </sheetData>
  <sheetProtection formatCells="0" formatColumns="0" formatRows="0" insertColumns="0" insertRows="0" insertHyperlinks="0" deleteColumns="0" deleteRows="0" sort="0" autoFilter="0" pivotTables="0"/>
  <autoFilter ref="A8:P70" xr:uid="{2D5397B6-A7EF-44BC-AFEB-2E3D8598E273}"/>
  <sortState xmlns:xlrd2="http://schemas.microsoft.com/office/spreadsheetml/2017/richdata2" ref="C13:P65">
    <sortCondition ref="C13:C65"/>
  </sortState>
  <mergeCells count="4">
    <mergeCell ref="F1:P1"/>
    <mergeCell ref="D2:E2"/>
    <mergeCell ref="D69:P69"/>
    <mergeCell ref="D70:P70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939C-7426-45D4-8B2F-398073EC9422}">
  <sheetPr filterMode="1"/>
  <dimension ref="A1:O91"/>
  <sheetViews>
    <sheetView topLeftCell="D2" zoomScale="70" zoomScaleNormal="70" workbookViewId="0">
      <selection activeCell="H18" sqref="H18"/>
    </sheetView>
  </sheetViews>
  <sheetFormatPr defaultColWidth="8.88671875" defaultRowHeight="13.8" x14ac:dyDescent="0.3"/>
  <cols>
    <col min="1" max="2" width="11.5546875" style="94" hidden="1" customWidth="1"/>
    <col min="3" max="3" width="42.109375" style="94" customWidth="1"/>
    <col min="4" max="4" width="40.44140625" style="94" customWidth="1"/>
    <col min="5" max="5" width="8" style="94" customWidth="1"/>
    <col min="6" max="6" width="7.88671875" style="94" customWidth="1"/>
    <col min="7" max="7" width="16.44140625" style="94" customWidth="1"/>
    <col min="8" max="8" width="18.33203125" style="94" customWidth="1"/>
    <col min="9" max="9" width="22.88671875" style="94" customWidth="1"/>
    <col min="10" max="10" width="26.33203125" style="94" customWidth="1"/>
    <col min="11" max="14" width="11.5546875" style="94" customWidth="1"/>
    <col min="15" max="15" width="21.88671875" style="94" customWidth="1"/>
    <col min="16" max="16384" width="8.88671875" style="94"/>
  </cols>
  <sheetData>
    <row r="1" spans="1:15" ht="15" customHeight="1" x14ac:dyDescent="0.3">
      <c r="C1" s="104" t="s">
        <v>113</v>
      </c>
      <c r="E1" s="299" t="s">
        <v>114</v>
      </c>
      <c r="F1" s="299"/>
      <c r="G1" s="299"/>
      <c r="H1" s="299"/>
      <c r="I1" s="299"/>
      <c r="J1" s="299"/>
      <c r="K1" s="299"/>
      <c r="L1" s="299"/>
      <c r="M1" s="299"/>
      <c r="N1" s="299"/>
      <c r="O1" s="299"/>
    </row>
    <row r="2" spans="1:15" s="3" customFormat="1" ht="31.2" customHeight="1" x14ac:dyDescent="0.3">
      <c r="A2" s="122" t="s">
        <v>115</v>
      </c>
      <c r="B2" s="122"/>
      <c r="C2" s="300" t="s">
        <v>115</v>
      </c>
      <c r="D2" s="301"/>
    </row>
    <row r="3" spans="1:15" s="3" customFormat="1" ht="15" customHeight="1" x14ac:dyDescent="0.3">
      <c r="A3" s="1"/>
      <c r="B3" s="1"/>
      <c r="C3" s="64" t="s">
        <v>116</v>
      </c>
    </row>
    <row r="4" spans="1:15" s="3" customFormat="1" ht="15" customHeight="1" x14ac:dyDescent="0.3">
      <c r="A4" s="1"/>
      <c r="B4" s="1"/>
      <c r="C4" s="64" t="s">
        <v>117</v>
      </c>
    </row>
    <row r="5" spans="1:15" s="3" customFormat="1" ht="15" customHeight="1" x14ac:dyDescent="0.3">
      <c r="A5" s="1"/>
      <c r="B5" s="1"/>
      <c r="C5" s="64"/>
    </row>
    <row r="6" spans="1:15" s="3" customFormat="1" ht="31.2" customHeight="1" x14ac:dyDescent="0.3">
      <c r="A6" s="1"/>
      <c r="B6" s="1"/>
      <c r="C6" s="105" t="s">
        <v>147</v>
      </c>
    </row>
    <row r="7" spans="1:15" s="3" customFormat="1" ht="15" customHeight="1" x14ac:dyDescent="0.3">
      <c r="A7" s="1"/>
      <c r="B7" s="1"/>
      <c r="C7" s="64"/>
    </row>
    <row r="8" spans="1:15" ht="61.5" customHeight="1" x14ac:dyDescent="0.3">
      <c r="A8" s="98" t="s">
        <v>112</v>
      </c>
      <c r="B8" s="120" t="s">
        <v>146</v>
      </c>
      <c r="C8" s="103" t="s">
        <v>106</v>
      </c>
      <c r="D8" s="103" t="s">
        <v>72</v>
      </c>
      <c r="E8" s="123" t="s">
        <v>149</v>
      </c>
      <c r="F8" s="103" t="s">
        <v>60</v>
      </c>
      <c r="G8" s="103" t="s">
        <v>88</v>
      </c>
      <c r="H8" s="103" t="s">
        <v>89</v>
      </c>
      <c r="I8" s="103" t="s">
        <v>64</v>
      </c>
      <c r="J8" s="103" t="s">
        <v>65</v>
      </c>
      <c r="K8" s="103" t="s">
        <v>66</v>
      </c>
      <c r="L8" s="103" t="s">
        <v>67</v>
      </c>
      <c r="M8" s="103" t="s">
        <v>69</v>
      </c>
      <c r="N8" s="103" t="s">
        <v>68</v>
      </c>
      <c r="O8" s="103" t="s">
        <v>109</v>
      </c>
    </row>
    <row r="9" spans="1:15" ht="119.4" hidden="1" customHeight="1" x14ac:dyDescent="0.3">
      <c r="A9" s="98"/>
      <c r="B9" s="120"/>
      <c r="C9" s="125" t="s">
        <v>7</v>
      </c>
      <c r="D9" s="125"/>
      <c r="E9" s="126"/>
      <c r="F9" s="127"/>
      <c r="G9" s="125"/>
      <c r="H9" s="125"/>
      <c r="I9" s="125"/>
      <c r="J9" s="125"/>
      <c r="K9" s="125"/>
      <c r="L9" s="125"/>
      <c r="M9" s="125"/>
      <c r="N9" s="125"/>
      <c r="O9" s="125" t="s">
        <v>152</v>
      </c>
    </row>
    <row r="10" spans="1:15" ht="79.5" hidden="1" customHeight="1" x14ac:dyDescent="0.3">
      <c r="A10" s="98"/>
      <c r="B10" s="120"/>
      <c r="C10" s="128" t="s">
        <v>9</v>
      </c>
      <c r="D10" s="128"/>
      <c r="E10" s="129"/>
      <c r="F10" s="130"/>
      <c r="G10" s="128"/>
      <c r="H10" s="128"/>
      <c r="I10" s="128"/>
      <c r="J10" s="128"/>
      <c r="K10" s="128"/>
      <c r="L10" s="128"/>
      <c r="M10" s="128"/>
      <c r="N10" s="128"/>
      <c r="O10" s="128" t="s">
        <v>153</v>
      </c>
    </row>
    <row r="11" spans="1:15" ht="106.95" hidden="1" customHeight="1" x14ac:dyDescent="0.3">
      <c r="A11" s="98"/>
      <c r="B11" s="120"/>
      <c r="C11" s="125" t="s">
        <v>11</v>
      </c>
      <c r="D11" s="125"/>
      <c r="E11" s="126"/>
      <c r="F11" s="127"/>
      <c r="G11" s="125"/>
      <c r="H11" s="125"/>
      <c r="I11" s="125"/>
      <c r="J11" s="125"/>
      <c r="K11" s="125"/>
      <c r="L11" s="125"/>
      <c r="M11" s="125"/>
      <c r="N11" s="125"/>
      <c r="O11" s="125" t="s">
        <v>154</v>
      </c>
    </row>
    <row r="12" spans="1:15" ht="89.4" hidden="1" customHeight="1" x14ac:dyDescent="0.3">
      <c r="A12" s="98"/>
      <c r="B12" s="120"/>
      <c r="C12" s="128" t="s">
        <v>13</v>
      </c>
      <c r="D12" s="128"/>
      <c r="E12" s="129"/>
      <c r="F12" s="130"/>
      <c r="G12" s="128"/>
      <c r="H12" s="128"/>
      <c r="I12" s="128"/>
      <c r="J12" s="128"/>
      <c r="K12" s="128"/>
      <c r="L12" s="128"/>
      <c r="M12" s="128"/>
      <c r="N12" s="128"/>
      <c r="O12" s="128" t="s">
        <v>155</v>
      </c>
    </row>
    <row r="13" spans="1:15" ht="30" hidden="1" customHeight="1" x14ac:dyDescent="0.3">
      <c r="A13" s="96">
        <v>45748</v>
      </c>
      <c r="B13" s="96">
        <v>45779</v>
      </c>
      <c r="C13" s="95" t="s">
        <v>15</v>
      </c>
      <c r="D13" s="95" t="s">
        <v>108</v>
      </c>
      <c r="E13" s="100">
        <v>5</v>
      </c>
      <c r="F13" s="100"/>
      <c r="G13" s="95" t="s">
        <v>74</v>
      </c>
      <c r="H13" s="95" t="s">
        <v>91</v>
      </c>
      <c r="I13" s="95" t="s">
        <v>62</v>
      </c>
      <c r="J13" s="95" t="s">
        <v>59</v>
      </c>
      <c r="K13" s="96">
        <v>45779</v>
      </c>
      <c r="L13" s="99">
        <v>0.35416666666666669</v>
      </c>
      <c r="M13" s="96">
        <v>45785</v>
      </c>
      <c r="N13" s="96" t="s">
        <v>70</v>
      </c>
      <c r="O13" s="95"/>
    </row>
    <row r="14" spans="1:15" ht="30" hidden="1" customHeight="1" x14ac:dyDescent="0.3">
      <c r="A14" s="102">
        <v>45748</v>
      </c>
      <c r="B14" s="96">
        <v>45779</v>
      </c>
      <c r="C14" s="95" t="s">
        <v>15</v>
      </c>
      <c r="D14" s="95" t="s">
        <v>107</v>
      </c>
      <c r="E14" s="100">
        <v>5</v>
      </c>
      <c r="F14" s="100"/>
      <c r="G14" s="95" t="s">
        <v>73</v>
      </c>
      <c r="H14" s="95" t="s">
        <v>95</v>
      </c>
      <c r="I14" s="95" t="s">
        <v>56</v>
      </c>
      <c r="J14" s="95" t="s">
        <v>83</v>
      </c>
      <c r="K14" s="96">
        <v>45779</v>
      </c>
      <c r="L14" s="99">
        <v>0.51388888888888884</v>
      </c>
      <c r="M14" s="96">
        <v>45779</v>
      </c>
      <c r="N14" s="96" t="s">
        <v>70</v>
      </c>
      <c r="O14" s="95"/>
    </row>
    <row r="15" spans="1:15" ht="30" hidden="1" customHeight="1" x14ac:dyDescent="0.3">
      <c r="A15" s="97">
        <v>45749</v>
      </c>
      <c r="B15" s="96">
        <v>45779</v>
      </c>
      <c r="C15" s="95" t="s">
        <v>15</v>
      </c>
      <c r="D15" s="95" t="s">
        <v>107</v>
      </c>
      <c r="E15" s="100">
        <v>3</v>
      </c>
      <c r="F15" s="100"/>
      <c r="G15" s="95" t="s">
        <v>73</v>
      </c>
      <c r="H15" s="95" t="s">
        <v>92</v>
      </c>
      <c r="I15" s="95" t="s">
        <v>118</v>
      </c>
      <c r="J15" s="95" t="s">
        <v>119</v>
      </c>
      <c r="K15" s="96">
        <v>45779</v>
      </c>
      <c r="L15" s="99">
        <v>0.52083333333333337</v>
      </c>
      <c r="M15" s="96">
        <v>45779</v>
      </c>
      <c r="N15" s="96" t="s">
        <v>70</v>
      </c>
      <c r="O15" s="95"/>
    </row>
    <row r="16" spans="1:15" ht="30" hidden="1" customHeight="1" x14ac:dyDescent="0.3">
      <c r="A16" s="96">
        <v>45750</v>
      </c>
      <c r="B16" s="108">
        <v>45782</v>
      </c>
      <c r="C16" s="95" t="s">
        <v>15</v>
      </c>
      <c r="D16" s="95" t="s">
        <v>107</v>
      </c>
      <c r="E16" s="100">
        <v>5</v>
      </c>
      <c r="F16" s="100"/>
      <c r="G16" s="95" t="s">
        <v>73</v>
      </c>
      <c r="H16" s="95" t="s">
        <v>90</v>
      </c>
      <c r="I16" s="95" t="s">
        <v>55</v>
      </c>
      <c r="J16" s="95" t="s">
        <v>63</v>
      </c>
      <c r="K16" s="108">
        <v>45782</v>
      </c>
      <c r="L16" s="99">
        <v>0.54861111111111116</v>
      </c>
      <c r="M16" s="108">
        <v>45782</v>
      </c>
      <c r="N16" s="96" t="s">
        <v>70</v>
      </c>
      <c r="O16" s="95"/>
    </row>
    <row r="17" spans="1:15" ht="30" hidden="1" customHeight="1" x14ac:dyDescent="0.3">
      <c r="A17" s="96">
        <v>45750</v>
      </c>
      <c r="B17" s="96">
        <v>45782</v>
      </c>
      <c r="C17" s="95" t="s">
        <v>15</v>
      </c>
      <c r="D17" s="95" t="s">
        <v>108</v>
      </c>
      <c r="E17" s="100">
        <v>5</v>
      </c>
      <c r="F17" s="100"/>
      <c r="G17" s="95" t="s">
        <v>74</v>
      </c>
      <c r="H17" s="95" t="s">
        <v>91</v>
      </c>
      <c r="I17" s="95" t="s">
        <v>75</v>
      </c>
      <c r="J17" s="95" t="s">
        <v>76</v>
      </c>
      <c r="K17" s="96">
        <v>45782</v>
      </c>
      <c r="L17" s="99">
        <v>0.35416666666666669</v>
      </c>
      <c r="M17" s="96">
        <v>45782</v>
      </c>
      <c r="N17" s="96" t="s">
        <v>70</v>
      </c>
      <c r="O17" s="95"/>
    </row>
    <row r="18" spans="1:15" ht="30" hidden="1" customHeight="1" x14ac:dyDescent="0.3">
      <c r="A18" s="96">
        <v>45750</v>
      </c>
      <c r="B18" s="96">
        <v>45783</v>
      </c>
      <c r="C18" s="95" t="s">
        <v>15</v>
      </c>
      <c r="D18" s="95" t="s">
        <v>108</v>
      </c>
      <c r="E18" s="100">
        <v>5</v>
      </c>
      <c r="F18" s="100">
        <v>1</v>
      </c>
      <c r="G18" s="95" t="s">
        <v>74</v>
      </c>
      <c r="H18" s="95" t="s">
        <v>91</v>
      </c>
      <c r="I18" s="95" t="s">
        <v>78</v>
      </c>
      <c r="J18" s="95" t="s">
        <v>77</v>
      </c>
      <c r="K18" s="96">
        <v>45783</v>
      </c>
      <c r="L18" s="99">
        <v>0.375</v>
      </c>
      <c r="M18" s="96">
        <v>45783</v>
      </c>
      <c r="N18" s="96" t="s">
        <v>70</v>
      </c>
      <c r="O18" s="95"/>
    </row>
    <row r="19" spans="1:15" ht="30" hidden="1" customHeight="1" x14ac:dyDescent="0.3">
      <c r="A19" s="96">
        <v>45751</v>
      </c>
      <c r="B19" s="96">
        <v>45783</v>
      </c>
      <c r="C19" s="95" t="s">
        <v>15</v>
      </c>
      <c r="D19" s="95" t="s">
        <v>107</v>
      </c>
      <c r="E19" s="100">
        <v>6</v>
      </c>
      <c r="F19" s="100"/>
      <c r="G19" s="95" t="s">
        <v>73</v>
      </c>
      <c r="H19" s="95" t="s">
        <v>95</v>
      </c>
      <c r="I19" s="95" t="s">
        <v>56</v>
      </c>
      <c r="J19" s="95" t="s">
        <v>83</v>
      </c>
      <c r="K19" s="96">
        <v>45783</v>
      </c>
      <c r="L19" s="99">
        <v>0.51388888888888884</v>
      </c>
      <c r="M19" s="96">
        <v>45783</v>
      </c>
      <c r="N19" s="96" t="s">
        <v>70</v>
      </c>
      <c r="O19" s="95"/>
    </row>
    <row r="20" spans="1:15" ht="30" hidden="1" customHeight="1" x14ac:dyDescent="0.3">
      <c r="A20" s="96">
        <v>45751</v>
      </c>
      <c r="B20" s="96">
        <v>45783</v>
      </c>
      <c r="C20" s="95" t="s">
        <v>15</v>
      </c>
      <c r="D20" s="95" t="s">
        <v>107</v>
      </c>
      <c r="E20" s="100">
        <v>4</v>
      </c>
      <c r="F20" s="100"/>
      <c r="G20" s="95" t="s">
        <v>73</v>
      </c>
      <c r="H20" s="95" t="s">
        <v>92</v>
      </c>
      <c r="I20" s="95" t="s">
        <v>118</v>
      </c>
      <c r="J20" s="95" t="s">
        <v>119</v>
      </c>
      <c r="K20" s="96">
        <v>45783</v>
      </c>
      <c r="L20" s="99">
        <v>0.52083333333333337</v>
      </c>
      <c r="M20" s="96">
        <v>45783</v>
      </c>
      <c r="N20" s="96" t="s">
        <v>70</v>
      </c>
      <c r="O20" s="95"/>
    </row>
    <row r="21" spans="1:15" ht="30" hidden="1" customHeight="1" x14ac:dyDescent="0.3">
      <c r="A21" s="96">
        <v>45754</v>
      </c>
      <c r="B21" s="96">
        <v>45783</v>
      </c>
      <c r="C21" s="95" t="s">
        <v>15</v>
      </c>
      <c r="D21" s="95" t="s">
        <v>107</v>
      </c>
      <c r="E21" s="100">
        <v>6</v>
      </c>
      <c r="F21" s="100"/>
      <c r="G21" s="95" t="s">
        <v>73</v>
      </c>
      <c r="H21" s="95" t="s">
        <v>94</v>
      </c>
      <c r="I21" s="95" t="s">
        <v>81</v>
      </c>
      <c r="J21" s="95" t="s">
        <v>82</v>
      </c>
      <c r="K21" s="96">
        <v>45783</v>
      </c>
      <c r="L21" s="99">
        <v>0.47916666666666669</v>
      </c>
      <c r="M21" s="96">
        <v>45783</v>
      </c>
      <c r="N21" s="96" t="s">
        <v>70</v>
      </c>
      <c r="O21" s="95"/>
    </row>
    <row r="22" spans="1:15" ht="30" customHeight="1" x14ac:dyDescent="0.3">
      <c r="A22" s="96">
        <v>45754</v>
      </c>
      <c r="B22" s="96">
        <v>45784</v>
      </c>
      <c r="C22" s="106" t="s">
        <v>15</v>
      </c>
      <c r="D22" s="106" t="s">
        <v>107</v>
      </c>
      <c r="E22" s="107">
        <v>5</v>
      </c>
      <c r="F22" s="107"/>
      <c r="G22" s="106" t="s">
        <v>73</v>
      </c>
      <c r="H22" s="106" t="s">
        <v>104</v>
      </c>
      <c r="I22" s="106" t="s">
        <v>86</v>
      </c>
      <c r="J22" s="106" t="s">
        <v>87</v>
      </c>
      <c r="K22" s="96">
        <v>45784</v>
      </c>
      <c r="L22" s="109">
        <v>0.40625</v>
      </c>
      <c r="M22" s="96">
        <v>45784</v>
      </c>
      <c r="N22" s="108" t="s">
        <v>70</v>
      </c>
      <c r="O22" s="95"/>
    </row>
    <row r="23" spans="1:15" ht="30" hidden="1" customHeight="1" x14ac:dyDescent="0.3">
      <c r="A23" s="96">
        <v>45754</v>
      </c>
      <c r="B23" s="96">
        <v>45784</v>
      </c>
      <c r="C23" s="95" t="s">
        <v>15</v>
      </c>
      <c r="D23" s="95" t="s">
        <v>108</v>
      </c>
      <c r="E23" s="100">
        <v>5</v>
      </c>
      <c r="F23" s="100">
        <v>1</v>
      </c>
      <c r="G23" s="95" t="s">
        <v>74</v>
      </c>
      <c r="H23" s="95" t="s">
        <v>91</v>
      </c>
      <c r="I23" s="95" t="s">
        <v>61</v>
      </c>
      <c r="J23" s="95" t="s">
        <v>58</v>
      </c>
      <c r="K23" s="96">
        <v>45784</v>
      </c>
      <c r="L23" s="99">
        <v>0.375</v>
      </c>
      <c r="M23" s="96">
        <v>45784</v>
      </c>
      <c r="N23" s="96" t="s">
        <v>70</v>
      </c>
      <c r="O23" s="95"/>
    </row>
    <row r="24" spans="1:15" ht="30" hidden="1" customHeight="1" x14ac:dyDescent="0.3">
      <c r="A24" s="96"/>
      <c r="B24" s="96"/>
      <c r="C24" s="95" t="s">
        <v>15</v>
      </c>
      <c r="D24" s="95" t="s">
        <v>107</v>
      </c>
      <c r="E24" s="100">
        <v>7</v>
      </c>
      <c r="F24" s="100"/>
      <c r="G24" s="95" t="s">
        <v>73</v>
      </c>
      <c r="H24" s="95" t="s">
        <v>94</v>
      </c>
      <c r="I24" s="95" t="s">
        <v>81</v>
      </c>
      <c r="J24" s="95" t="s">
        <v>82</v>
      </c>
      <c r="K24" s="96">
        <v>45784</v>
      </c>
      <c r="L24" s="99">
        <v>0.47916666666666669</v>
      </c>
      <c r="M24" s="96">
        <v>45784</v>
      </c>
      <c r="N24" s="96" t="s">
        <v>70</v>
      </c>
      <c r="O24" s="95"/>
    </row>
    <row r="25" spans="1:15" ht="30" hidden="1" customHeight="1" x14ac:dyDescent="0.3">
      <c r="A25" s="96">
        <v>45755</v>
      </c>
      <c r="B25" s="96">
        <v>45784</v>
      </c>
      <c r="C25" s="95" t="s">
        <v>15</v>
      </c>
      <c r="D25" s="95" t="s">
        <v>108</v>
      </c>
      <c r="E25" s="100">
        <v>5</v>
      </c>
      <c r="F25" s="100">
        <v>2</v>
      </c>
      <c r="G25" s="95" t="s">
        <v>74</v>
      </c>
      <c r="H25" s="95" t="s">
        <v>91</v>
      </c>
      <c r="I25" s="95" t="s">
        <v>61</v>
      </c>
      <c r="J25" s="95" t="s">
        <v>58</v>
      </c>
      <c r="K25" s="96">
        <v>45784</v>
      </c>
      <c r="L25" s="99">
        <v>0.51041666666666663</v>
      </c>
      <c r="M25" s="96">
        <v>45784</v>
      </c>
      <c r="N25" s="96" t="s">
        <v>70</v>
      </c>
      <c r="O25" s="95"/>
    </row>
    <row r="26" spans="1:15" ht="42.75" hidden="1" customHeight="1" x14ac:dyDescent="0.3">
      <c r="A26" s="96">
        <v>45755</v>
      </c>
      <c r="B26" s="96">
        <v>45784</v>
      </c>
      <c r="C26" s="106" t="s">
        <v>15</v>
      </c>
      <c r="D26" s="106" t="s">
        <v>107</v>
      </c>
      <c r="E26" s="107">
        <v>6</v>
      </c>
      <c r="F26" s="107"/>
      <c r="G26" s="106" t="s">
        <v>73</v>
      </c>
      <c r="H26" s="106" t="s">
        <v>93</v>
      </c>
      <c r="I26" s="106" t="s">
        <v>79</v>
      </c>
      <c r="J26" s="106" t="s">
        <v>80</v>
      </c>
      <c r="K26" s="108">
        <v>45784</v>
      </c>
      <c r="L26" s="109">
        <v>0.54166666666666663</v>
      </c>
      <c r="M26" s="108">
        <v>45784</v>
      </c>
      <c r="N26" s="108" t="s">
        <v>70</v>
      </c>
      <c r="O26" s="106"/>
    </row>
    <row r="27" spans="1:15" ht="30" hidden="1" customHeight="1" x14ac:dyDescent="0.3">
      <c r="A27" s="96">
        <v>45755</v>
      </c>
      <c r="B27" s="108">
        <v>45784</v>
      </c>
      <c r="C27" s="95" t="s">
        <v>15</v>
      </c>
      <c r="D27" s="95" t="s">
        <v>107</v>
      </c>
      <c r="E27" s="100">
        <v>4</v>
      </c>
      <c r="F27" s="100"/>
      <c r="G27" s="95" t="s">
        <v>73</v>
      </c>
      <c r="H27" s="95" t="s">
        <v>103</v>
      </c>
      <c r="I27" s="95" t="s">
        <v>57</v>
      </c>
      <c r="J27" s="95" t="s">
        <v>85</v>
      </c>
      <c r="K27" s="108">
        <v>45784</v>
      </c>
      <c r="L27" s="99">
        <v>0.45833333333333331</v>
      </c>
      <c r="M27" s="108">
        <v>45784</v>
      </c>
      <c r="N27" s="96" t="s">
        <v>70</v>
      </c>
      <c r="O27" s="106"/>
    </row>
    <row r="28" spans="1:15" ht="30" hidden="1" customHeight="1" x14ac:dyDescent="0.3">
      <c r="A28" s="96">
        <v>45756</v>
      </c>
      <c r="B28" s="108">
        <v>45785</v>
      </c>
      <c r="C28" s="95" t="s">
        <v>15</v>
      </c>
      <c r="D28" s="95" t="s">
        <v>107</v>
      </c>
      <c r="E28" s="107">
        <v>6</v>
      </c>
      <c r="F28" s="107"/>
      <c r="G28" s="95" t="s">
        <v>73</v>
      </c>
      <c r="H28" s="95" t="s">
        <v>90</v>
      </c>
      <c r="I28" s="95" t="s">
        <v>55</v>
      </c>
      <c r="J28" s="95" t="s">
        <v>63</v>
      </c>
      <c r="K28" s="108">
        <v>45785</v>
      </c>
      <c r="L28" s="109">
        <v>0.54861111111111116</v>
      </c>
      <c r="M28" s="108">
        <v>45785</v>
      </c>
      <c r="N28" s="96" t="s">
        <v>70</v>
      </c>
      <c r="O28" s="106"/>
    </row>
    <row r="29" spans="1:15" ht="30" customHeight="1" x14ac:dyDescent="0.3">
      <c r="A29" s="96">
        <v>45756</v>
      </c>
      <c r="B29" s="96">
        <v>45785</v>
      </c>
      <c r="C29" s="106" t="s">
        <v>15</v>
      </c>
      <c r="D29" s="106" t="s">
        <v>107</v>
      </c>
      <c r="E29" s="107">
        <v>6</v>
      </c>
      <c r="F29" s="107"/>
      <c r="G29" s="106" t="s">
        <v>73</v>
      </c>
      <c r="H29" s="106" t="s">
        <v>104</v>
      </c>
      <c r="I29" s="106" t="s">
        <v>86</v>
      </c>
      <c r="J29" s="106" t="s">
        <v>87</v>
      </c>
      <c r="K29" s="96">
        <v>45785</v>
      </c>
      <c r="L29" s="109">
        <v>0.60416666666666663</v>
      </c>
      <c r="M29" s="96">
        <v>45785</v>
      </c>
      <c r="N29" s="108" t="s">
        <v>70</v>
      </c>
      <c r="O29" s="95"/>
    </row>
    <row r="30" spans="1:15" ht="30" hidden="1" customHeight="1" x14ac:dyDescent="0.3">
      <c r="A30" s="96"/>
      <c r="B30" s="96">
        <v>45785</v>
      </c>
      <c r="C30" s="95" t="s">
        <v>15</v>
      </c>
      <c r="D30" s="95" t="s">
        <v>108</v>
      </c>
      <c r="E30" s="100">
        <v>6</v>
      </c>
      <c r="F30" s="100"/>
      <c r="G30" s="95" t="s">
        <v>74</v>
      </c>
      <c r="H30" s="95" t="s">
        <v>91</v>
      </c>
      <c r="I30" s="95" t="s">
        <v>62</v>
      </c>
      <c r="J30" s="95" t="s">
        <v>59</v>
      </c>
      <c r="K30" s="96">
        <v>45785</v>
      </c>
      <c r="L30" s="99">
        <v>0.35416666666666669</v>
      </c>
      <c r="M30" s="96">
        <v>45785</v>
      </c>
      <c r="N30" s="96" t="s">
        <v>70</v>
      </c>
      <c r="O30" s="95"/>
    </row>
    <row r="31" spans="1:15" ht="30" hidden="1" customHeight="1" x14ac:dyDescent="0.3">
      <c r="A31" s="96"/>
      <c r="B31" s="96">
        <v>45785</v>
      </c>
      <c r="C31" s="95" t="s">
        <v>15</v>
      </c>
      <c r="D31" s="95" t="s">
        <v>107</v>
      </c>
      <c r="E31" s="100">
        <v>5</v>
      </c>
      <c r="F31" s="100"/>
      <c r="G31" s="95" t="s">
        <v>73</v>
      </c>
      <c r="H31" s="95" t="s">
        <v>103</v>
      </c>
      <c r="I31" s="95" t="s">
        <v>57</v>
      </c>
      <c r="J31" s="95" t="s">
        <v>85</v>
      </c>
      <c r="K31" s="96">
        <v>45785</v>
      </c>
      <c r="L31" s="99">
        <v>0.45833333333333331</v>
      </c>
      <c r="M31" s="96">
        <v>45785</v>
      </c>
      <c r="N31" s="96" t="s">
        <v>70</v>
      </c>
      <c r="O31" s="106"/>
    </row>
    <row r="32" spans="1:15" ht="30" hidden="1" customHeight="1" x14ac:dyDescent="0.3">
      <c r="A32" s="96">
        <v>45757</v>
      </c>
      <c r="B32" s="96">
        <v>45786</v>
      </c>
      <c r="C32" s="95" t="s">
        <v>15</v>
      </c>
      <c r="D32" s="95" t="s">
        <v>107</v>
      </c>
      <c r="E32" s="100">
        <v>7</v>
      </c>
      <c r="F32" s="100"/>
      <c r="G32" s="95" t="s">
        <v>73</v>
      </c>
      <c r="H32" s="95" t="s">
        <v>95</v>
      </c>
      <c r="I32" s="95" t="s">
        <v>56</v>
      </c>
      <c r="J32" s="95" t="s">
        <v>83</v>
      </c>
      <c r="K32" s="96">
        <v>45786</v>
      </c>
      <c r="L32" s="99">
        <v>0.51388888888888884</v>
      </c>
      <c r="M32" s="96">
        <v>45786</v>
      </c>
      <c r="N32" s="96" t="s">
        <v>70</v>
      </c>
      <c r="O32" s="95"/>
    </row>
    <row r="33" spans="1:15" ht="30" hidden="1" customHeight="1" x14ac:dyDescent="0.3">
      <c r="A33" s="96">
        <v>45757</v>
      </c>
      <c r="B33" s="96">
        <v>45786</v>
      </c>
      <c r="C33" s="95" t="s">
        <v>15</v>
      </c>
      <c r="D33" s="95" t="s">
        <v>107</v>
      </c>
      <c r="E33" s="100">
        <v>5</v>
      </c>
      <c r="F33" s="100"/>
      <c r="G33" s="95" t="s">
        <v>73</v>
      </c>
      <c r="H33" s="95" t="s">
        <v>92</v>
      </c>
      <c r="I33" s="95" t="s">
        <v>118</v>
      </c>
      <c r="J33" s="95" t="s">
        <v>119</v>
      </c>
      <c r="K33" s="96">
        <v>45786</v>
      </c>
      <c r="L33" s="99">
        <v>0.52083333333333337</v>
      </c>
      <c r="M33" s="96">
        <v>45786</v>
      </c>
      <c r="N33" s="96" t="s">
        <v>70</v>
      </c>
      <c r="O33" s="95"/>
    </row>
    <row r="34" spans="1:15" ht="30" hidden="1" customHeight="1" x14ac:dyDescent="0.3">
      <c r="A34" s="96"/>
      <c r="B34" s="96"/>
      <c r="C34" s="95" t="s">
        <v>15</v>
      </c>
      <c r="D34" s="95" t="s">
        <v>108</v>
      </c>
      <c r="E34" s="100">
        <v>5</v>
      </c>
      <c r="F34" s="100">
        <v>2</v>
      </c>
      <c r="G34" s="95" t="s">
        <v>74</v>
      </c>
      <c r="H34" s="95" t="s">
        <v>91</v>
      </c>
      <c r="I34" s="95" t="s">
        <v>78</v>
      </c>
      <c r="J34" s="95" t="s">
        <v>77</v>
      </c>
      <c r="K34" s="96">
        <v>45786</v>
      </c>
      <c r="L34" s="99">
        <v>0.51041666666666663</v>
      </c>
      <c r="M34" s="96">
        <v>45783</v>
      </c>
      <c r="N34" s="96" t="s">
        <v>70</v>
      </c>
      <c r="O34" s="95"/>
    </row>
    <row r="35" spans="1:15" ht="30" hidden="1" customHeight="1" x14ac:dyDescent="0.3">
      <c r="A35" s="96"/>
      <c r="B35" s="108">
        <v>45789</v>
      </c>
      <c r="C35" s="95" t="s">
        <v>15</v>
      </c>
      <c r="D35" s="95" t="s">
        <v>107</v>
      </c>
      <c r="E35" s="107">
        <v>7</v>
      </c>
      <c r="F35" s="107"/>
      <c r="G35" s="95" t="s">
        <v>73</v>
      </c>
      <c r="H35" s="95" t="s">
        <v>90</v>
      </c>
      <c r="I35" s="95" t="s">
        <v>55</v>
      </c>
      <c r="J35" s="95" t="s">
        <v>63</v>
      </c>
      <c r="K35" s="108">
        <v>45789</v>
      </c>
      <c r="L35" s="109">
        <v>0.54861111111111116</v>
      </c>
      <c r="M35" s="108">
        <v>45789</v>
      </c>
      <c r="N35" s="96" t="s">
        <v>70</v>
      </c>
      <c r="O35" s="106"/>
    </row>
    <row r="36" spans="1:15" ht="30" hidden="1" customHeight="1" x14ac:dyDescent="0.3">
      <c r="A36" s="96"/>
      <c r="B36" s="96">
        <v>45789</v>
      </c>
      <c r="C36" s="95" t="s">
        <v>15</v>
      </c>
      <c r="D36" s="95" t="s">
        <v>108</v>
      </c>
      <c r="E36" s="100">
        <v>6</v>
      </c>
      <c r="F36" s="100"/>
      <c r="G36" s="95" t="s">
        <v>74</v>
      </c>
      <c r="H36" s="95" t="s">
        <v>91</v>
      </c>
      <c r="I36" s="95" t="s">
        <v>75</v>
      </c>
      <c r="J36" s="95" t="s">
        <v>76</v>
      </c>
      <c r="K36" s="96">
        <v>45789</v>
      </c>
      <c r="L36" s="99">
        <v>0.35416666666666669</v>
      </c>
      <c r="M36" s="96">
        <v>45789</v>
      </c>
      <c r="N36" s="96" t="s">
        <v>70</v>
      </c>
      <c r="O36" s="95"/>
    </row>
    <row r="37" spans="1:15" ht="30" hidden="1" customHeight="1" x14ac:dyDescent="0.3">
      <c r="A37" s="96">
        <v>45757</v>
      </c>
      <c r="B37" s="96">
        <v>45789</v>
      </c>
      <c r="C37" s="95" t="s">
        <v>15</v>
      </c>
      <c r="D37" s="95" t="s">
        <v>107</v>
      </c>
      <c r="E37" s="100">
        <v>8</v>
      </c>
      <c r="F37" s="100"/>
      <c r="G37" s="95" t="s">
        <v>73</v>
      </c>
      <c r="H37" s="95" t="s">
        <v>95</v>
      </c>
      <c r="I37" s="95" t="s">
        <v>56</v>
      </c>
      <c r="J37" s="95" t="s">
        <v>83</v>
      </c>
      <c r="K37" s="96">
        <v>45789</v>
      </c>
      <c r="L37" s="99">
        <v>0.51388888888888884</v>
      </c>
      <c r="M37" s="96">
        <v>45789</v>
      </c>
      <c r="N37" s="96" t="s">
        <v>70</v>
      </c>
      <c r="O37" s="95"/>
    </row>
    <row r="38" spans="1:15" ht="30" hidden="1" customHeight="1" x14ac:dyDescent="0.3">
      <c r="A38" s="96"/>
      <c r="B38" s="96">
        <v>45790</v>
      </c>
      <c r="C38" s="95" t="s">
        <v>15</v>
      </c>
      <c r="D38" s="95" t="s">
        <v>108</v>
      </c>
      <c r="E38" s="100">
        <v>6</v>
      </c>
      <c r="F38" s="100">
        <v>1</v>
      </c>
      <c r="G38" s="95" t="s">
        <v>74</v>
      </c>
      <c r="H38" s="95" t="s">
        <v>91</v>
      </c>
      <c r="I38" s="95" t="s">
        <v>78</v>
      </c>
      <c r="J38" s="95" t="s">
        <v>77</v>
      </c>
      <c r="K38" s="96">
        <v>45790</v>
      </c>
      <c r="L38" s="99">
        <v>0.375</v>
      </c>
      <c r="M38" s="96">
        <v>45790</v>
      </c>
      <c r="N38" s="96" t="s">
        <v>70</v>
      </c>
      <c r="O38" s="95"/>
    </row>
    <row r="39" spans="1:15" ht="121.5" hidden="1" customHeight="1" x14ac:dyDescent="0.3">
      <c r="A39" s="96">
        <v>45758</v>
      </c>
      <c r="B39" s="96">
        <v>45790</v>
      </c>
      <c r="C39" s="210" t="s">
        <v>15</v>
      </c>
      <c r="D39" s="210" t="s">
        <v>108</v>
      </c>
      <c r="E39" s="205">
        <v>6</v>
      </c>
      <c r="F39" s="205">
        <v>2</v>
      </c>
      <c r="G39" s="210" t="s">
        <v>74</v>
      </c>
      <c r="H39" s="210" t="s">
        <v>91</v>
      </c>
      <c r="I39" s="210" t="s">
        <v>78</v>
      </c>
      <c r="J39" s="210" t="s">
        <v>77</v>
      </c>
      <c r="K39" s="206">
        <v>45790</v>
      </c>
      <c r="L39" s="208">
        <v>0.51041666666666663</v>
      </c>
      <c r="M39" s="206">
        <v>45790</v>
      </c>
      <c r="N39" s="206" t="s">
        <v>70</v>
      </c>
      <c r="O39" s="207" t="s">
        <v>248</v>
      </c>
    </row>
    <row r="40" spans="1:15" ht="30" hidden="1" customHeight="1" x14ac:dyDescent="0.3">
      <c r="A40" s="96">
        <v>45758</v>
      </c>
      <c r="B40" s="96">
        <v>45790</v>
      </c>
      <c r="C40" s="95" t="s">
        <v>15</v>
      </c>
      <c r="D40" s="95" t="s">
        <v>107</v>
      </c>
      <c r="E40" s="100">
        <v>6</v>
      </c>
      <c r="F40" s="100"/>
      <c r="G40" s="95" t="s">
        <v>73</v>
      </c>
      <c r="H40" s="95" t="s">
        <v>92</v>
      </c>
      <c r="I40" s="95" t="s">
        <v>118</v>
      </c>
      <c r="J40" s="95" t="s">
        <v>119</v>
      </c>
      <c r="K40" s="96">
        <v>45790</v>
      </c>
      <c r="L40" s="99">
        <v>0.52083333333333337</v>
      </c>
      <c r="M40" s="96">
        <v>45790</v>
      </c>
      <c r="N40" s="96" t="s">
        <v>70</v>
      </c>
      <c r="O40" s="95"/>
    </row>
    <row r="41" spans="1:15" ht="30" hidden="1" customHeight="1" x14ac:dyDescent="0.3">
      <c r="A41" s="96">
        <v>45758</v>
      </c>
      <c r="B41" s="96">
        <v>45790</v>
      </c>
      <c r="C41" s="95" t="s">
        <v>15</v>
      </c>
      <c r="D41" s="95" t="s">
        <v>107</v>
      </c>
      <c r="E41" s="100">
        <v>8</v>
      </c>
      <c r="F41" s="100"/>
      <c r="G41" s="95" t="s">
        <v>73</v>
      </c>
      <c r="H41" s="95" t="s">
        <v>94</v>
      </c>
      <c r="I41" s="95" t="s">
        <v>81</v>
      </c>
      <c r="J41" s="95" t="s">
        <v>82</v>
      </c>
      <c r="K41" s="96">
        <v>45790</v>
      </c>
      <c r="L41" s="99">
        <v>0.51041666666666663</v>
      </c>
      <c r="M41" s="96">
        <v>45790</v>
      </c>
      <c r="N41" s="96" t="s">
        <v>70</v>
      </c>
      <c r="O41" s="95"/>
    </row>
    <row r="42" spans="1:15" ht="30" customHeight="1" x14ac:dyDescent="0.3">
      <c r="A42" s="96">
        <v>45761</v>
      </c>
      <c r="B42" s="96">
        <v>45791</v>
      </c>
      <c r="C42" s="106" t="s">
        <v>15</v>
      </c>
      <c r="D42" s="106" t="s">
        <v>107</v>
      </c>
      <c r="E42" s="107">
        <v>7</v>
      </c>
      <c r="F42" s="107"/>
      <c r="G42" s="106" t="s">
        <v>73</v>
      </c>
      <c r="H42" s="106" t="s">
        <v>104</v>
      </c>
      <c r="I42" s="106" t="s">
        <v>86</v>
      </c>
      <c r="J42" s="106" t="s">
        <v>87</v>
      </c>
      <c r="K42" s="96">
        <v>45791</v>
      </c>
      <c r="L42" s="109">
        <v>0.40625</v>
      </c>
      <c r="M42" s="96">
        <v>45791</v>
      </c>
      <c r="N42" s="108" t="s">
        <v>70</v>
      </c>
      <c r="O42" s="95"/>
    </row>
    <row r="43" spans="1:15" ht="30" hidden="1" customHeight="1" x14ac:dyDescent="0.3">
      <c r="A43" s="96"/>
      <c r="B43" s="96">
        <v>45791</v>
      </c>
      <c r="C43" s="95" t="s">
        <v>15</v>
      </c>
      <c r="D43" s="95" t="s">
        <v>108</v>
      </c>
      <c r="E43" s="100">
        <v>6</v>
      </c>
      <c r="F43" s="100">
        <v>1</v>
      </c>
      <c r="G43" s="95" t="s">
        <v>74</v>
      </c>
      <c r="H43" s="95" t="s">
        <v>91</v>
      </c>
      <c r="I43" s="95" t="s">
        <v>61</v>
      </c>
      <c r="J43" s="95" t="s">
        <v>58</v>
      </c>
      <c r="K43" s="96">
        <v>45791</v>
      </c>
      <c r="L43" s="99">
        <v>0.375</v>
      </c>
      <c r="M43" s="96">
        <v>45791</v>
      </c>
      <c r="N43" s="96" t="s">
        <v>70</v>
      </c>
      <c r="O43" s="95"/>
    </row>
    <row r="44" spans="1:15" ht="30" hidden="1" customHeight="1" x14ac:dyDescent="0.3">
      <c r="A44" s="96"/>
      <c r="B44" s="96">
        <v>45791</v>
      </c>
      <c r="C44" s="95" t="s">
        <v>15</v>
      </c>
      <c r="D44" s="95" t="s">
        <v>108</v>
      </c>
      <c r="E44" s="100">
        <v>6</v>
      </c>
      <c r="F44" s="100">
        <v>2</v>
      </c>
      <c r="G44" s="95" t="s">
        <v>74</v>
      </c>
      <c r="H44" s="95" t="s">
        <v>91</v>
      </c>
      <c r="I44" s="95" t="s">
        <v>61</v>
      </c>
      <c r="J44" s="95" t="s">
        <v>58</v>
      </c>
      <c r="K44" s="96">
        <v>45791</v>
      </c>
      <c r="L44" s="99">
        <v>0.51041666666666663</v>
      </c>
      <c r="M44" s="96">
        <v>45791</v>
      </c>
      <c r="N44" s="96" t="s">
        <v>70</v>
      </c>
      <c r="O44" s="95"/>
    </row>
    <row r="45" spans="1:15" ht="30" hidden="1" customHeight="1" x14ac:dyDescent="0.3">
      <c r="A45" s="96"/>
      <c r="B45" s="96"/>
      <c r="C45" s="95" t="s">
        <v>15</v>
      </c>
      <c r="D45" s="95" t="s">
        <v>107</v>
      </c>
      <c r="E45" s="100">
        <v>9</v>
      </c>
      <c r="F45" s="100"/>
      <c r="G45" s="95" t="s">
        <v>73</v>
      </c>
      <c r="H45" s="95" t="s">
        <v>94</v>
      </c>
      <c r="I45" s="95" t="s">
        <v>81</v>
      </c>
      <c r="J45" s="95" t="s">
        <v>82</v>
      </c>
      <c r="K45" s="108">
        <v>45791</v>
      </c>
      <c r="L45" s="99">
        <v>0.33333333333333331</v>
      </c>
      <c r="M45" s="108">
        <v>45791</v>
      </c>
      <c r="N45" s="96" t="s">
        <v>70</v>
      </c>
      <c r="O45" s="95"/>
    </row>
    <row r="46" spans="1:15" ht="30" hidden="1" customHeight="1" x14ac:dyDescent="0.3">
      <c r="A46" s="96">
        <v>45761</v>
      </c>
      <c r="B46" s="108">
        <v>45792</v>
      </c>
      <c r="C46" s="95" t="s">
        <v>15</v>
      </c>
      <c r="D46" s="95" t="s">
        <v>107</v>
      </c>
      <c r="E46" s="100">
        <v>8</v>
      </c>
      <c r="F46" s="100"/>
      <c r="G46" s="95" t="s">
        <v>73</v>
      </c>
      <c r="H46" s="95" t="s">
        <v>90</v>
      </c>
      <c r="I46" s="95" t="s">
        <v>55</v>
      </c>
      <c r="J46" s="95" t="s">
        <v>63</v>
      </c>
      <c r="K46" s="108">
        <v>45792</v>
      </c>
      <c r="L46" s="99">
        <v>0.54861111111111116</v>
      </c>
      <c r="M46" s="108">
        <v>45792</v>
      </c>
      <c r="N46" s="96" t="s">
        <v>70</v>
      </c>
      <c r="O46" s="95"/>
    </row>
    <row r="47" spans="1:15" ht="30" customHeight="1" x14ac:dyDescent="0.3">
      <c r="A47" s="96">
        <v>45762</v>
      </c>
      <c r="B47" s="96">
        <v>45792</v>
      </c>
      <c r="C47" s="106" t="s">
        <v>15</v>
      </c>
      <c r="D47" s="106" t="s">
        <v>107</v>
      </c>
      <c r="E47" s="107">
        <v>8</v>
      </c>
      <c r="F47" s="107"/>
      <c r="G47" s="106" t="s">
        <v>73</v>
      </c>
      <c r="H47" s="106" t="s">
        <v>104</v>
      </c>
      <c r="I47" s="106" t="s">
        <v>86</v>
      </c>
      <c r="J47" s="106" t="s">
        <v>87</v>
      </c>
      <c r="K47" s="96">
        <v>45792</v>
      </c>
      <c r="L47" s="109">
        <v>0.60416666666666663</v>
      </c>
      <c r="M47" s="96">
        <v>45792</v>
      </c>
      <c r="N47" s="108" t="s">
        <v>70</v>
      </c>
      <c r="O47" s="95"/>
    </row>
    <row r="48" spans="1:15" ht="30" hidden="1" customHeight="1" x14ac:dyDescent="0.3">
      <c r="A48" s="96">
        <v>45762</v>
      </c>
      <c r="B48" s="96">
        <v>45792</v>
      </c>
      <c r="C48" s="95" t="s">
        <v>15</v>
      </c>
      <c r="D48" s="95" t="s">
        <v>108</v>
      </c>
      <c r="E48" s="211">
        <v>7</v>
      </c>
      <c r="F48" s="211"/>
      <c r="G48" s="95" t="s">
        <v>74</v>
      </c>
      <c r="H48" s="95" t="s">
        <v>91</v>
      </c>
      <c r="I48" s="95" t="s">
        <v>62</v>
      </c>
      <c r="J48" s="95" t="s">
        <v>59</v>
      </c>
      <c r="K48" s="213">
        <v>45792</v>
      </c>
      <c r="L48" s="214">
        <v>0.35416666666666669</v>
      </c>
      <c r="M48" s="213">
        <v>45792</v>
      </c>
      <c r="N48" s="96" t="s">
        <v>70</v>
      </c>
      <c r="O48" s="212"/>
    </row>
    <row r="49" spans="1:15" ht="30" hidden="1" customHeight="1" x14ac:dyDescent="0.3">
      <c r="A49" s="96">
        <v>45762</v>
      </c>
      <c r="B49" s="96">
        <v>45792</v>
      </c>
      <c r="C49" s="95" t="s">
        <v>15</v>
      </c>
      <c r="D49" s="95" t="s">
        <v>107</v>
      </c>
      <c r="E49" s="100">
        <v>6</v>
      </c>
      <c r="F49" s="100"/>
      <c r="G49" s="95" t="s">
        <v>73</v>
      </c>
      <c r="H49" s="95" t="s">
        <v>103</v>
      </c>
      <c r="I49" s="95" t="s">
        <v>57</v>
      </c>
      <c r="J49" s="95" t="s">
        <v>85</v>
      </c>
      <c r="K49" s="96">
        <v>45792</v>
      </c>
      <c r="L49" s="99">
        <v>0.45833333333333331</v>
      </c>
      <c r="M49" s="96">
        <v>45792</v>
      </c>
      <c r="N49" s="96" t="s">
        <v>70</v>
      </c>
      <c r="O49" s="106"/>
    </row>
    <row r="50" spans="1:15" ht="30" hidden="1" customHeight="1" x14ac:dyDescent="0.3">
      <c r="A50" s="96">
        <v>45763</v>
      </c>
      <c r="B50" s="96">
        <v>45793</v>
      </c>
      <c r="C50" s="95" t="s">
        <v>15</v>
      </c>
      <c r="D50" s="95" t="s">
        <v>108</v>
      </c>
      <c r="E50" s="211">
        <v>7</v>
      </c>
      <c r="F50" s="211">
        <v>1</v>
      </c>
      <c r="G50" s="95" t="s">
        <v>74</v>
      </c>
      <c r="H50" s="95" t="s">
        <v>91</v>
      </c>
      <c r="I50" s="95" t="s">
        <v>61</v>
      </c>
      <c r="J50" s="95" t="s">
        <v>58</v>
      </c>
      <c r="K50" s="213">
        <v>45793</v>
      </c>
      <c r="L50" s="214">
        <v>0.375</v>
      </c>
      <c r="M50" s="213">
        <v>45793</v>
      </c>
      <c r="N50" s="96" t="s">
        <v>70</v>
      </c>
      <c r="O50" s="212"/>
    </row>
    <row r="51" spans="1:15" ht="30" hidden="1" customHeight="1" x14ac:dyDescent="0.3">
      <c r="A51" s="96">
        <v>45763</v>
      </c>
      <c r="B51" s="121">
        <v>45793</v>
      </c>
      <c r="C51" s="95" t="s">
        <v>15</v>
      </c>
      <c r="D51" s="95" t="s">
        <v>108</v>
      </c>
      <c r="E51" s="211">
        <v>7</v>
      </c>
      <c r="F51" s="211">
        <v>2</v>
      </c>
      <c r="G51" s="95" t="s">
        <v>74</v>
      </c>
      <c r="H51" s="95" t="s">
        <v>91</v>
      </c>
      <c r="I51" s="95" t="s">
        <v>61</v>
      </c>
      <c r="J51" s="95" t="s">
        <v>58</v>
      </c>
      <c r="K51" s="213">
        <v>45793</v>
      </c>
      <c r="L51" s="214">
        <v>0.51041666666666663</v>
      </c>
      <c r="M51" s="213">
        <v>45793</v>
      </c>
      <c r="N51" s="96" t="s">
        <v>70</v>
      </c>
      <c r="O51" s="212"/>
    </row>
    <row r="52" spans="1:15" ht="30" hidden="1" customHeight="1" x14ac:dyDescent="0.3">
      <c r="A52" s="96"/>
      <c r="B52" s="96">
        <v>45793</v>
      </c>
      <c r="C52" s="95" t="s">
        <v>15</v>
      </c>
      <c r="D52" s="95" t="s">
        <v>107</v>
      </c>
      <c r="E52" s="100">
        <v>9</v>
      </c>
      <c r="F52" s="100"/>
      <c r="G52" s="95" t="s">
        <v>73</v>
      </c>
      <c r="H52" s="95" t="s">
        <v>95</v>
      </c>
      <c r="I52" s="95" t="s">
        <v>56</v>
      </c>
      <c r="J52" s="95" t="s">
        <v>83</v>
      </c>
      <c r="K52" s="96">
        <v>45793</v>
      </c>
      <c r="L52" s="99">
        <v>0.51388888888888884</v>
      </c>
      <c r="M52" s="96">
        <v>45793</v>
      </c>
      <c r="N52" s="96" t="s">
        <v>70</v>
      </c>
      <c r="O52" s="95"/>
    </row>
    <row r="53" spans="1:15" ht="42.75" hidden="1" customHeight="1" x14ac:dyDescent="0.3">
      <c r="A53" s="96"/>
      <c r="B53" s="96">
        <v>45793</v>
      </c>
      <c r="C53" s="202" t="s">
        <v>15</v>
      </c>
      <c r="D53" s="202" t="s">
        <v>107</v>
      </c>
      <c r="E53" s="203">
        <v>7</v>
      </c>
      <c r="F53" s="203"/>
      <c r="G53" s="202" t="s">
        <v>73</v>
      </c>
      <c r="H53" s="202" t="s">
        <v>93</v>
      </c>
      <c r="I53" s="202" t="s">
        <v>79</v>
      </c>
      <c r="J53" s="202" t="s">
        <v>80</v>
      </c>
      <c r="K53" s="204">
        <v>45793</v>
      </c>
      <c r="L53" s="201">
        <v>0.35416666666666669</v>
      </c>
      <c r="M53" s="204">
        <v>45793</v>
      </c>
      <c r="N53" s="204" t="s">
        <v>70</v>
      </c>
      <c r="O53" s="207" t="s">
        <v>245</v>
      </c>
    </row>
    <row r="54" spans="1:15" ht="30" hidden="1" customHeight="1" x14ac:dyDescent="0.3">
      <c r="A54" s="96">
        <v>45763</v>
      </c>
      <c r="B54" s="96">
        <v>45793</v>
      </c>
      <c r="C54" s="95" t="s">
        <v>15</v>
      </c>
      <c r="D54" s="95" t="s">
        <v>107</v>
      </c>
      <c r="E54" s="100">
        <v>7</v>
      </c>
      <c r="F54" s="100"/>
      <c r="G54" s="95" t="s">
        <v>73</v>
      </c>
      <c r="H54" s="95" t="s">
        <v>103</v>
      </c>
      <c r="I54" s="95" t="s">
        <v>57</v>
      </c>
      <c r="J54" s="95" t="s">
        <v>85</v>
      </c>
      <c r="K54" s="96">
        <v>45793</v>
      </c>
      <c r="L54" s="99">
        <v>0.45833333333333331</v>
      </c>
      <c r="M54" s="96">
        <v>45793</v>
      </c>
      <c r="N54" s="96" t="s">
        <v>70</v>
      </c>
      <c r="O54" s="106"/>
    </row>
    <row r="55" spans="1:15" ht="30" hidden="1" customHeight="1" x14ac:dyDescent="0.3">
      <c r="A55" s="96">
        <v>45764</v>
      </c>
      <c r="B55" s="96">
        <v>45793</v>
      </c>
      <c r="C55" s="95" t="s">
        <v>15</v>
      </c>
      <c r="D55" s="95" t="s">
        <v>107</v>
      </c>
      <c r="E55" s="100">
        <v>7</v>
      </c>
      <c r="F55" s="100"/>
      <c r="G55" s="95" t="s">
        <v>73</v>
      </c>
      <c r="H55" s="95" t="s">
        <v>92</v>
      </c>
      <c r="I55" s="95" t="s">
        <v>118</v>
      </c>
      <c r="J55" s="95" t="s">
        <v>119</v>
      </c>
      <c r="K55" s="96">
        <v>45793</v>
      </c>
      <c r="L55" s="99">
        <v>0.52083333333333337</v>
      </c>
      <c r="M55" s="96">
        <v>45793</v>
      </c>
      <c r="N55" s="96" t="s">
        <v>70</v>
      </c>
      <c r="O55" s="95"/>
    </row>
    <row r="56" spans="1:15" ht="30" hidden="1" customHeight="1" x14ac:dyDescent="0.3">
      <c r="A56" s="96">
        <v>45765</v>
      </c>
      <c r="B56" s="108">
        <v>45796</v>
      </c>
      <c r="C56" s="95" t="s">
        <v>15</v>
      </c>
      <c r="D56" s="95" t="s">
        <v>107</v>
      </c>
      <c r="E56" s="100">
        <v>9</v>
      </c>
      <c r="F56" s="100"/>
      <c r="G56" s="95" t="s">
        <v>73</v>
      </c>
      <c r="H56" s="95" t="s">
        <v>90</v>
      </c>
      <c r="I56" s="95" t="s">
        <v>55</v>
      </c>
      <c r="J56" s="95" t="s">
        <v>63</v>
      </c>
      <c r="K56" s="108">
        <v>45796</v>
      </c>
      <c r="L56" s="99">
        <v>0.54861111111111116</v>
      </c>
      <c r="M56" s="108">
        <v>45796</v>
      </c>
      <c r="N56" s="96" t="s">
        <v>70</v>
      </c>
      <c r="O56" s="95"/>
    </row>
    <row r="57" spans="1:15" ht="30" hidden="1" customHeight="1" x14ac:dyDescent="0.3">
      <c r="A57" s="96">
        <v>45769</v>
      </c>
      <c r="B57" s="96">
        <v>45796</v>
      </c>
      <c r="C57" s="95" t="s">
        <v>15</v>
      </c>
      <c r="D57" s="95" t="s">
        <v>108</v>
      </c>
      <c r="E57" s="211">
        <v>7</v>
      </c>
      <c r="F57" s="211"/>
      <c r="G57" s="95" t="s">
        <v>74</v>
      </c>
      <c r="H57" s="95" t="s">
        <v>91</v>
      </c>
      <c r="I57" s="95" t="s">
        <v>75</v>
      </c>
      <c r="J57" s="95" t="s">
        <v>76</v>
      </c>
      <c r="K57" s="213">
        <v>45796</v>
      </c>
      <c r="L57" s="214">
        <v>0.35416666666666669</v>
      </c>
      <c r="M57" s="213">
        <v>45796</v>
      </c>
      <c r="N57" s="96" t="s">
        <v>70</v>
      </c>
      <c r="O57" s="212"/>
    </row>
    <row r="58" spans="1:15" ht="30" hidden="1" customHeight="1" x14ac:dyDescent="0.3">
      <c r="A58" s="96">
        <v>45769</v>
      </c>
      <c r="B58" s="96">
        <v>45797</v>
      </c>
      <c r="C58" s="95" t="s">
        <v>15</v>
      </c>
      <c r="D58" s="95" t="s">
        <v>107</v>
      </c>
      <c r="E58" s="100">
        <v>10</v>
      </c>
      <c r="F58" s="100"/>
      <c r="G58" s="95" t="s">
        <v>73</v>
      </c>
      <c r="H58" s="95" t="s">
        <v>95</v>
      </c>
      <c r="I58" s="95" t="s">
        <v>56</v>
      </c>
      <c r="J58" s="95" t="s">
        <v>83</v>
      </c>
      <c r="K58" s="96">
        <v>45797</v>
      </c>
      <c r="L58" s="99">
        <v>0.51388888888888884</v>
      </c>
      <c r="M58" s="96">
        <v>45797</v>
      </c>
      <c r="N58" s="96" t="s">
        <v>70</v>
      </c>
      <c r="O58" s="95"/>
    </row>
    <row r="59" spans="1:15" ht="30" hidden="1" customHeight="1" x14ac:dyDescent="0.3">
      <c r="A59" s="96">
        <v>45769</v>
      </c>
      <c r="B59" s="96">
        <v>45797</v>
      </c>
      <c r="C59" s="95" t="s">
        <v>15</v>
      </c>
      <c r="D59" s="95" t="s">
        <v>107</v>
      </c>
      <c r="E59" s="100">
        <v>8</v>
      </c>
      <c r="F59" s="100"/>
      <c r="G59" s="95" t="s">
        <v>73</v>
      </c>
      <c r="H59" s="95" t="s">
        <v>103</v>
      </c>
      <c r="I59" s="95" t="s">
        <v>57</v>
      </c>
      <c r="J59" s="95" t="s">
        <v>85</v>
      </c>
      <c r="K59" s="96">
        <v>45797</v>
      </c>
      <c r="L59" s="99">
        <v>0.45833333333333331</v>
      </c>
      <c r="M59" s="96">
        <v>45797</v>
      </c>
      <c r="N59" s="96" t="s">
        <v>70</v>
      </c>
      <c r="O59" s="106"/>
    </row>
    <row r="60" spans="1:15" ht="30" hidden="1" customHeight="1" x14ac:dyDescent="0.3">
      <c r="A60" s="96">
        <v>45770</v>
      </c>
      <c r="B60" s="96">
        <v>45797</v>
      </c>
      <c r="C60" s="95" t="s">
        <v>15</v>
      </c>
      <c r="D60" s="95" t="s">
        <v>107</v>
      </c>
      <c r="E60" s="100">
        <v>8</v>
      </c>
      <c r="F60" s="100"/>
      <c r="G60" s="95" t="s">
        <v>73</v>
      </c>
      <c r="H60" s="95" t="s">
        <v>92</v>
      </c>
      <c r="I60" s="95" t="s">
        <v>118</v>
      </c>
      <c r="J60" s="95" t="s">
        <v>119</v>
      </c>
      <c r="K60" s="96">
        <v>45797</v>
      </c>
      <c r="L60" s="99">
        <v>0.52083333333333337</v>
      </c>
      <c r="M60" s="96">
        <v>45797</v>
      </c>
      <c r="N60" s="96" t="s">
        <v>70</v>
      </c>
      <c r="O60" s="95"/>
    </row>
    <row r="61" spans="1:15" ht="30" hidden="1" customHeight="1" x14ac:dyDescent="0.3">
      <c r="A61" s="96">
        <v>45770</v>
      </c>
      <c r="B61" s="96">
        <v>45797</v>
      </c>
      <c r="C61" s="95" t="s">
        <v>15</v>
      </c>
      <c r="D61" s="95" t="s">
        <v>107</v>
      </c>
      <c r="E61" s="100">
        <v>10</v>
      </c>
      <c r="F61" s="100"/>
      <c r="G61" s="95" t="s">
        <v>73</v>
      </c>
      <c r="H61" s="95" t="s">
        <v>94</v>
      </c>
      <c r="I61" s="95" t="s">
        <v>81</v>
      </c>
      <c r="J61" s="95" t="s">
        <v>82</v>
      </c>
      <c r="K61" s="96">
        <v>45797</v>
      </c>
      <c r="L61" s="99">
        <v>0.47916666666666669</v>
      </c>
      <c r="M61" s="96">
        <v>45797</v>
      </c>
      <c r="N61" s="96" t="s">
        <v>70</v>
      </c>
      <c r="O61" s="95"/>
    </row>
    <row r="62" spans="1:15" ht="30" hidden="1" customHeight="1" x14ac:dyDescent="0.3">
      <c r="A62" s="96"/>
      <c r="B62" s="96"/>
      <c r="C62" s="95" t="s">
        <v>15</v>
      </c>
      <c r="D62" s="95" t="s">
        <v>107</v>
      </c>
      <c r="E62" s="100">
        <v>11</v>
      </c>
      <c r="F62" s="100"/>
      <c r="G62" s="95" t="s">
        <v>73</v>
      </c>
      <c r="H62" s="95" t="s">
        <v>94</v>
      </c>
      <c r="I62" s="95" t="s">
        <v>81</v>
      </c>
      <c r="J62" s="95" t="s">
        <v>82</v>
      </c>
      <c r="K62" s="96">
        <v>45798</v>
      </c>
      <c r="L62" s="99">
        <v>0.33333333333333331</v>
      </c>
      <c r="M62" s="96">
        <v>45798</v>
      </c>
      <c r="N62" s="96" t="s">
        <v>70</v>
      </c>
      <c r="O62" s="95"/>
    </row>
    <row r="63" spans="1:15" ht="30" customHeight="1" x14ac:dyDescent="0.3">
      <c r="A63" s="96">
        <v>45770</v>
      </c>
      <c r="B63" s="96">
        <v>45798</v>
      </c>
      <c r="C63" s="106" t="s">
        <v>15</v>
      </c>
      <c r="D63" s="106" t="s">
        <v>107</v>
      </c>
      <c r="E63" s="107">
        <v>9</v>
      </c>
      <c r="F63" s="107"/>
      <c r="G63" s="106" t="s">
        <v>73</v>
      </c>
      <c r="H63" s="106" t="s">
        <v>104</v>
      </c>
      <c r="I63" s="106" t="s">
        <v>86</v>
      </c>
      <c r="J63" s="106" t="s">
        <v>87</v>
      </c>
      <c r="K63" s="96">
        <v>45798</v>
      </c>
      <c r="L63" s="109">
        <v>0.40625</v>
      </c>
      <c r="M63" s="96">
        <v>45798</v>
      </c>
      <c r="N63" s="108" t="s">
        <v>70</v>
      </c>
      <c r="O63" s="95"/>
    </row>
    <row r="64" spans="1:15" ht="30" hidden="1" customHeight="1" x14ac:dyDescent="0.3">
      <c r="A64" s="96">
        <v>45770</v>
      </c>
      <c r="B64" s="108">
        <v>45799</v>
      </c>
      <c r="C64" s="95" t="s">
        <v>15</v>
      </c>
      <c r="D64" s="95" t="s">
        <v>107</v>
      </c>
      <c r="E64" s="100">
        <v>10</v>
      </c>
      <c r="F64" s="100"/>
      <c r="G64" s="95" t="s">
        <v>73</v>
      </c>
      <c r="H64" s="95" t="s">
        <v>90</v>
      </c>
      <c r="I64" s="95" t="s">
        <v>55</v>
      </c>
      <c r="J64" s="95" t="s">
        <v>63</v>
      </c>
      <c r="K64" s="108">
        <v>45799</v>
      </c>
      <c r="L64" s="99">
        <v>0.54861111111111116</v>
      </c>
      <c r="M64" s="108">
        <v>45799</v>
      </c>
      <c r="N64" s="96" t="s">
        <v>70</v>
      </c>
      <c r="O64" s="95"/>
    </row>
    <row r="65" spans="1:15" ht="30" hidden="1" customHeight="1" x14ac:dyDescent="0.3">
      <c r="A65" s="96">
        <v>45771</v>
      </c>
      <c r="B65" s="96">
        <v>45799</v>
      </c>
      <c r="C65" s="95" t="s">
        <v>15</v>
      </c>
      <c r="D65" s="95" t="s">
        <v>108</v>
      </c>
      <c r="E65" s="211">
        <v>8</v>
      </c>
      <c r="F65" s="211"/>
      <c r="G65" s="95" t="s">
        <v>74</v>
      </c>
      <c r="H65" s="95" t="s">
        <v>91</v>
      </c>
      <c r="I65" s="95" t="s">
        <v>62</v>
      </c>
      <c r="J65" s="95" t="s">
        <v>59</v>
      </c>
      <c r="K65" s="213">
        <v>45799</v>
      </c>
      <c r="L65" s="214">
        <v>0.35416666666666669</v>
      </c>
      <c r="M65" s="213">
        <v>45799</v>
      </c>
      <c r="N65" s="96" t="s">
        <v>70</v>
      </c>
      <c r="O65" s="212"/>
    </row>
    <row r="66" spans="1:15" ht="24.75" hidden="1" customHeight="1" x14ac:dyDescent="0.3">
      <c r="A66" s="96">
        <v>45771</v>
      </c>
      <c r="B66" s="96">
        <v>45799</v>
      </c>
      <c r="C66" s="95" t="s">
        <v>15</v>
      </c>
      <c r="D66" s="95" t="s">
        <v>107</v>
      </c>
      <c r="E66" s="100">
        <v>9</v>
      </c>
      <c r="F66" s="100"/>
      <c r="G66" s="95" t="s">
        <v>73</v>
      </c>
      <c r="H66" s="95" t="s">
        <v>103</v>
      </c>
      <c r="I66" s="95" t="s">
        <v>57</v>
      </c>
      <c r="J66" s="95" t="s">
        <v>85</v>
      </c>
      <c r="K66" s="96">
        <v>45799</v>
      </c>
      <c r="L66" s="99">
        <v>0.45833333333333331</v>
      </c>
      <c r="M66" s="96">
        <v>45799</v>
      </c>
      <c r="N66" s="96" t="s">
        <v>70</v>
      </c>
      <c r="O66" s="106"/>
    </row>
    <row r="67" spans="1:15" ht="67.5" hidden="1" customHeight="1" x14ac:dyDescent="0.3">
      <c r="A67" s="101">
        <v>45771</v>
      </c>
      <c r="B67" s="96">
        <v>45800</v>
      </c>
      <c r="C67" s="95" t="s">
        <v>15</v>
      </c>
      <c r="D67" s="95" t="s">
        <v>108</v>
      </c>
      <c r="E67" s="211">
        <v>7</v>
      </c>
      <c r="F67" s="211">
        <v>1</v>
      </c>
      <c r="G67" s="95" t="s">
        <v>74</v>
      </c>
      <c r="H67" s="95" t="s">
        <v>91</v>
      </c>
      <c r="I67" s="95" t="s">
        <v>78</v>
      </c>
      <c r="J67" s="95" t="s">
        <v>77</v>
      </c>
      <c r="K67" s="213">
        <v>45800</v>
      </c>
      <c r="L67" s="214">
        <v>0.375</v>
      </c>
      <c r="M67" s="213">
        <v>45800</v>
      </c>
      <c r="N67" s="96" t="s">
        <v>70</v>
      </c>
      <c r="O67" s="212"/>
    </row>
    <row r="68" spans="1:15" ht="72" hidden="1" customHeight="1" x14ac:dyDescent="0.3">
      <c r="A68" s="97">
        <v>45772</v>
      </c>
      <c r="B68" s="96">
        <v>45800</v>
      </c>
      <c r="C68" s="202" t="s">
        <v>15</v>
      </c>
      <c r="D68" s="202" t="s">
        <v>108</v>
      </c>
      <c r="E68" s="218">
        <v>6</v>
      </c>
      <c r="F68" s="219">
        <v>2</v>
      </c>
      <c r="G68" s="202" t="s">
        <v>74</v>
      </c>
      <c r="H68" s="202" t="s">
        <v>91</v>
      </c>
      <c r="I68" s="202" t="s">
        <v>78</v>
      </c>
      <c r="J68" s="202" t="s">
        <v>77</v>
      </c>
      <c r="K68" s="215">
        <v>45800</v>
      </c>
      <c r="L68" s="216">
        <v>0.51041666666666663</v>
      </c>
      <c r="M68" s="215">
        <v>45800</v>
      </c>
      <c r="N68" s="204" t="s">
        <v>70</v>
      </c>
      <c r="O68" s="217" t="s">
        <v>249</v>
      </c>
    </row>
    <row r="69" spans="1:15" ht="30" hidden="1" customHeight="1" x14ac:dyDescent="0.3">
      <c r="A69" s="97"/>
      <c r="B69" s="96">
        <v>45800</v>
      </c>
      <c r="C69" s="95" t="s">
        <v>15</v>
      </c>
      <c r="D69" s="95" t="s">
        <v>107</v>
      </c>
      <c r="E69" s="100">
        <v>11</v>
      </c>
      <c r="F69" s="100"/>
      <c r="G69" s="95" t="s">
        <v>73</v>
      </c>
      <c r="H69" s="95" t="s">
        <v>95</v>
      </c>
      <c r="I69" s="95" t="s">
        <v>56</v>
      </c>
      <c r="J69" s="95" t="s">
        <v>83</v>
      </c>
      <c r="K69" s="96">
        <v>45800</v>
      </c>
      <c r="L69" s="99">
        <v>0.51388888888888884</v>
      </c>
      <c r="M69" s="96">
        <v>45800</v>
      </c>
      <c r="N69" s="96" t="s">
        <v>70</v>
      </c>
      <c r="O69" s="95"/>
    </row>
    <row r="70" spans="1:15" ht="42.75" hidden="1" customHeight="1" x14ac:dyDescent="0.3">
      <c r="A70" s="97"/>
      <c r="B70" s="96">
        <v>45800</v>
      </c>
      <c r="C70" s="202" t="s">
        <v>15</v>
      </c>
      <c r="D70" s="202" t="s">
        <v>107</v>
      </c>
      <c r="E70" s="203">
        <v>8</v>
      </c>
      <c r="F70" s="203"/>
      <c r="G70" s="202" t="s">
        <v>73</v>
      </c>
      <c r="H70" s="202" t="s">
        <v>93</v>
      </c>
      <c r="I70" s="202" t="s">
        <v>79</v>
      </c>
      <c r="J70" s="202" t="s">
        <v>80</v>
      </c>
      <c r="K70" s="204">
        <v>45800</v>
      </c>
      <c r="L70" s="201">
        <v>0.35416666666666669</v>
      </c>
      <c r="M70" s="204">
        <v>45800</v>
      </c>
      <c r="N70" s="204" t="s">
        <v>70</v>
      </c>
      <c r="O70" s="207" t="s">
        <v>245</v>
      </c>
    </row>
    <row r="71" spans="1:15" ht="30" hidden="1" customHeight="1" x14ac:dyDescent="0.3">
      <c r="A71" s="97"/>
      <c r="B71" s="96">
        <v>45800</v>
      </c>
      <c r="C71" s="95" t="s">
        <v>15</v>
      </c>
      <c r="D71" s="95" t="s">
        <v>107</v>
      </c>
      <c r="E71" s="100">
        <v>9</v>
      </c>
      <c r="F71" s="100"/>
      <c r="G71" s="95" t="s">
        <v>73</v>
      </c>
      <c r="H71" s="95" t="s">
        <v>92</v>
      </c>
      <c r="I71" s="95" t="s">
        <v>118</v>
      </c>
      <c r="J71" s="95" t="s">
        <v>119</v>
      </c>
      <c r="K71" s="96">
        <v>45800</v>
      </c>
      <c r="L71" s="99">
        <v>0.52083333333333337</v>
      </c>
      <c r="M71" s="96">
        <v>45800</v>
      </c>
      <c r="N71" s="96" t="s">
        <v>70</v>
      </c>
      <c r="O71" s="95"/>
    </row>
    <row r="72" spans="1:15" ht="30" hidden="1" customHeight="1" x14ac:dyDescent="0.3">
      <c r="A72" s="97"/>
      <c r="B72" s="96">
        <v>45803</v>
      </c>
      <c r="C72" s="95" t="s">
        <v>15</v>
      </c>
      <c r="D72" s="95" t="s">
        <v>108</v>
      </c>
      <c r="E72" s="211">
        <v>8</v>
      </c>
      <c r="F72" s="211"/>
      <c r="G72" s="95" t="s">
        <v>74</v>
      </c>
      <c r="H72" s="95" t="s">
        <v>91</v>
      </c>
      <c r="I72" s="95" t="s">
        <v>75</v>
      </c>
      <c r="J72" s="95" t="s">
        <v>76</v>
      </c>
      <c r="K72" s="213">
        <v>45803</v>
      </c>
      <c r="L72" s="214">
        <v>0.35416666666666669</v>
      </c>
      <c r="M72" s="213">
        <v>45803</v>
      </c>
      <c r="N72" s="96" t="s">
        <v>70</v>
      </c>
      <c r="O72" s="212"/>
    </row>
    <row r="73" spans="1:15" ht="157.5" hidden="1" customHeight="1" x14ac:dyDescent="0.3">
      <c r="A73" s="97"/>
      <c r="B73" s="96"/>
      <c r="C73" s="198" t="s">
        <v>15</v>
      </c>
      <c r="D73" s="198" t="s">
        <v>107</v>
      </c>
      <c r="E73" s="199">
        <v>9</v>
      </c>
      <c r="F73" s="199"/>
      <c r="G73" s="198" t="s">
        <v>73</v>
      </c>
      <c r="H73" s="198" t="s">
        <v>93</v>
      </c>
      <c r="I73" s="198" t="s">
        <v>79</v>
      </c>
      <c r="J73" s="198" t="s">
        <v>80</v>
      </c>
      <c r="K73" s="200">
        <v>45803</v>
      </c>
      <c r="L73" s="201">
        <v>0.35416666666666669</v>
      </c>
      <c r="M73" s="200">
        <v>45803</v>
      </c>
      <c r="N73" s="200" t="s">
        <v>70</v>
      </c>
      <c r="O73" s="207" t="s">
        <v>247</v>
      </c>
    </row>
    <row r="74" spans="1:15" ht="30" customHeight="1" x14ac:dyDescent="0.3">
      <c r="A74" s="97"/>
      <c r="B74" s="96">
        <v>45804</v>
      </c>
      <c r="C74" s="106" t="s">
        <v>15</v>
      </c>
      <c r="D74" s="106" t="s">
        <v>107</v>
      </c>
      <c r="E74" s="107">
        <v>10</v>
      </c>
      <c r="F74" s="107"/>
      <c r="G74" s="106" t="s">
        <v>73</v>
      </c>
      <c r="H74" s="106" t="s">
        <v>104</v>
      </c>
      <c r="I74" s="106" t="s">
        <v>86</v>
      </c>
      <c r="J74" s="106" t="s">
        <v>87</v>
      </c>
      <c r="K74" s="96">
        <v>45804</v>
      </c>
      <c r="L74" s="109">
        <v>0.42708333333333331</v>
      </c>
      <c r="M74" s="96">
        <v>45804</v>
      </c>
      <c r="N74" s="108" t="s">
        <v>70</v>
      </c>
      <c r="O74" s="95"/>
    </row>
    <row r="75" spans="1:15" ht="20.25" hidden="1" customHeight="1" x14ac:dyDescent="0.3">
      <c r="A75" s="96">
        <v>45775</v>
      </c>
      <c r="B75" s="96">
        <v>45804</v>
      </c>
      <c r="C75" s="95" t="s">
        <v>15</v>
      </c>
      <c r="D75" s="95" t="s">
        <v>108</v>
      </c>
      <c r="E75" s="211">
        <v>8</v>
      </c>
      <c r="F75" s="211">
        <v>1</v>
      </c>
      <c r="G75" s="95" t="s">
        <v>74</v>
      </c>
      <c r="H75" s="95" t="s">
        <v>91</v>
      </c>
      <c r="I75" s="95" t="s">
        <v>78</v>
      </c>
      <c r="J75" s="95" t="s">
        <v>77</v>
      </c>
      <c r="K75" s="213">
        <v>45804</v>
      </c>
      <c r="L75" s="214">
        <v>0.375</v>
      </c>
      <c r="M75" s="213">
        <v>45804</v>
      </c>
      <c r="N75" s="96" t="s">
        <v>70</v>
      </c>
      <c r="O75" s="212"/>
    </row>
    <row r="76" spans="1:15" ht="71.25" hidden="1" customHeight="1" x14ac:dyDescent="0.3">
      <c r="A76" s="96">
        <v>45775</v>
      </c>
      <c r="B76" s="96">
        <v>45804</v>
      </c>
      <c r="C76" s="202" t="s">
        <v>15</v>
      </c>
      <c r="D76" s="202" t="s">
        <v>108</v>
      </c>
      <c r="E76" s="218">
        <v>7</v>
      </c>
      <c r="F76" s="219">
        <v>2</v>
      </c>
      <c r="G76" s="202" t="s">
        <v>74</v>
      </c>
      <c r="H76" s="202" t="s">
        <v>91</v>
      </c>
      <c r="I76" s="202" t="s">
        <v>78</v>
      </c>
      <c r="J76" s="202" t="s">
        <v>77</v>
      </c>
      <c r="K76" s="215">
        <v>45804</v>
      </c>
      <c r="L76" s="216">
        <v>0.51041666666666663</v>
      </c>
      <c r="M76" s="215">
        <v>45804</v>
      </c>
      <c r="N76" s="204" t="s">
        <v>70</v>
      </c>
      <c r="O76" s="217" t="s">
        <v>249</v>
      </c>
    </row>
    <row r="77" spans="1:15" ht="30" hidden="1" customHeight="1" x14ac:dyDescent="0.3">
      <c r="A77" s="96"/>
      <c r="B77" s="96">
        <v>45804</v>
      </c>
      <c r="C77" s="95" t="s">
        <v>15</v>
      </c>
      <c r="D77" s="95" t="s">
        <v>107</v>
      </c>
      <c r="E77" s="100">
        <v>12</v>
      </c>
      <c r="F77" s="100"/>
      <c r="G77" s="95" t="s">
        <v>73</v>
      </c>
      <c r="H77" s="95" t="s">
        <v>95</v>
      </c>
      <c r="I77" s="95" t="s">
        <v>56</v>
      </c>
      <c r="J77" s="95" t="s">
        <v>83</v>
      </c>
      <c r="K77" s="96">
        <v>45804</v>
      </c>
      <c r="L77" s="99">
        <v>0.54166666666666663</v>
      </c>
      <c r="M77" s="96">
        <v>45804</v>
      </c>
      <c r="N77" s="96" t="s">
        <v>70</v>
      </c>
      <c r="O77" s="95"/>
    </row>
    <row r="78" spans="1:15" ht="30" hidden="1" customHeight="1" x14ac:dyDescent="0.3">
      <c r="A78" s="96"/>
      <c r="B78" s="96">
        <v>45804</v>
      </c>
      <c r="C78" s="95" t="s">
        <v>15</v>
      </c>
      <c r="D78" s="95" t="s">
        <v>107</v>
      </c>
      <c r="E78" s="100">
        <v>10</v>
      </c>
      <c r="F78" s="100"/>
      <c r="G78" s="95" t="s">
        <v>73</v>
      </c>
      <c r="H78" s="95" t="s">
        <v>92</v>
      </c>
      <c r="I78" s="95" t="s">
        <v>118</v>
      </c>
      <c r="J78" s="95" t="s">
        <v>119</v>
      </c>
      <c r="K78" s="96">
        <v>45804</v>
      </c>
      <c r="L78" s="99">
        <v>0.52083333333333337</v>
      </c>
      <c r="M78" s="96">
        <v>45804</v>
      </c>
      <c r="N78" s="96" t="s">
        <v>70</v>
      </c>
      <c r="O78" s="95"/>
    </row>
    <row r="79" spans="1:15" ht="30" hidden="1" customHeight="1" x14ac:dyDescent="0.3">
      <c r="A79" s="96"/>
      <c r="B79" s="96">
        <v>45804</v>
      </c>
      <c r="C79" s="95" t="s">
        <v>15</v>
      </c>
      <c r="D79" s="95" t="s">
        <v>107</v>
      </c>
      <c r="E79" s="100">
        <v>12</v>
      </c>
      <c r="F79" s="100"/>
      <c r="G79" s="95" t="s">
        <v>73</v>
      </c>
      <c r="H79" s="95" t="s">
        <v>94</v>
      </c>
      <c r="I79" s="95" t="s">
        <v>81</v>
      </c>
      <c r="J79" s="95" t="s">
        <v>82</v>
      </c>
      <c r="K79" s="96">
        <v>45804</v>
      </c>
      <c r="L79" s="99">
        <v>0.51041666666666663</v>
      </c>
      <c r="M79" s="96">
        <v>45804</v>
      </c>
      <c r="N79" s="96" t="s">
        <v>70</v>
      </c>
      <c r="O79" s="95"/>
    </row>
    <row r="80" spans="1:15" ht="30" customHeight="1" x14ac:dyDescent="0.3">
      <c r="A80" s="96"/>
      <c r="B80" s="96">
        <v>45805</v>
      </c>
      <c r="C80" s="106" t="s">
        <v>15</v>
      </c>
      <c r="D80" s="106" t="s">
        <v>107</v>
      </c>
      <c r="E80" s="107">
        <v>11</v>
      </c>
      <c r="F80" s="107"/>
      <c r="G80" s="106" t="s">
        <v>73</v>
      </c>
      <c r="H80" s="106" t="s">
        <v>104</v>
      </c>
      <c r="I80" s="106" t="s">
        <v>86</v>
      </c>
      <c r="J80" s="106" t="s">
        <v>87</v>
      </c>
      <c r="K80" s="96">
        <v>45805</v>
      </c>
      <c r="L80" s="109">
        <v>0.40625</v>
      </c>
      <c r="M80" s="96">
        <v>45805</v>
      </c>
      <c r="N80" s="108" t="s">
        <v>70</v>
      </c>
      <c r="O80" s="95"/>
    </row>
    <row r="81" spans="1:15" ht="30" hidden="1" customHeight="1" x14ac:dyDescent="0.3">
      <c r="A81" s="96"/>
      <c r="B81" s="96">
        <v>45805</v>
      </c>
      <c r="C81" s="95" t="s">
        <v>15</v>
      </c>
      <c r="D81" s="95" t="s">
        <v>108</v>
      </c>
      <c r="E81" s="211">
        <v>8</v>
      </c>
      <c r="F81" s="211">
        <v>1</v>
      </c>
      <c r="G81" s="95" t="s">
        <v>74</v>
      </c>
      <c r="H81" s="95" t="s">
        <v>91</v>
      </c>
      <c r="I81" s="95" t="s">
        <v>61</v>
      </c>
      <c r="J81" s="95" t="s">
        <v>58</v>
      </c>
      <c r="K81" s="213">
        <v>45805</v>
      </c>
      <c r="L81" s="214">
        <v>0.375</v>
      </c>
      <c r="M81" s="213">
        <v>45805</v>
      </c>
      <c r="N81" s="96" t="s">
        <v>70</v>
      </c>
      <c r="O81" s="212"/>
    </row>
    <row r="82" spans="1:15" ht="30" hidden="1" customHeight="1" x14ac:dyDescent="0.3">
      <c r="A82" s="96"/>
      <c r="B82" s="96">
        <v>45805</v>
      </c>
      <c r="C82" s="95" t="s">
        <v>15</v>
      </c>
      <c r="D82" s="95" t="s">
        <v>108</v>
      </c>
      <c r="E82" s="211">
        <v>8</v>
      </c>
      <c r="F82" s="211">
        <v>2</v>
      </c>
      <c r="G82" s="95" t="s">
        <v>74</v>
      </c>
      <c r="H82" s="95" t="s">
        <v>91</v>
      </c>
      <c r="I82" s="95" t="s">
        <v>61</v>
      </c>
      <c r="J82" s="95" t="s">
        <v>58</v>
      </c>
      <c r="K82" s="213">
        <v>45805</v>
      </c>
      <c r="L82" s="214">
        <v>0.51041666666666663</v>
      </c>
      <c r="M82" s="213">
        <v>45805</v>
      </c>
      <c r="N82" s="96" t="s">
        <v>70</v>
      </c>
      <c r="O82" s="212"/>
    </row>
    <row r="83" spans="1:15" ht="161.25" hidden="1" customHeight="1" x14ac:dyDescent="0.3">
      <c r="A83" s="96"/>
      <c r="B83" s="96">
        <v>45805</v>
      </c>
      <c r="C83" s="202" t="s">
        <v>15</v>
      </c>
      <c r="D83" s="202" t="s">
        <v>107</v>
      </c>
      <c r="E83" s="199">
        <v>10</v>
      </c>
      <c r="F83" s="203"/>
      <c r="G83" s="202" t="s">
        <v>73</v>
      </c>
      <c r="H83" s="202" t="s">
        <v>93</v>
      </c>
      <c r="I83" s="202" t="s">
        <v>79</v>
      </c>
      <c r="J83" s="202" t="s">
        <v>80</v>
      </c>
      <c r="K83" s="204">
        <v>45805</v>
      </c>
      <c r="L83" s="201">
        <v>0.35416666666666669</v>
      </c>
      <c r="M83" s="204">
        <v>45805</v>
      </c>
      <c r="N83" s="204" t="s">
        <v>70</v>
      </c>
      <c r="O83" s="207" t="s">
        <v>250</v>
      </c>
    </row>
    <row r="84" spans="1:15" ht="30" customHeight="1" x14ac:dyDescent="0.3">
      <c r="A84" s="96"/>
      <c r="B84" s="96">
        <v>45806</v>
      </c>
      <c r="C84" s="124" t="s">
        <v>15</v>
      </c>
      <c r="D84" s="106" t="s">
        <v>107</v>
      </c>
      <c r="E84" s="107">
        <v>12</v>
      </c>
      <c r="F84" s="107"/>
      <c r="G84" s="106" t="s">
        <v>73</v>
      </c>
      <c r="H84" s="106" t="s">
        <v>104</v>
      </c>
      <c r="I84" s="106" t="s">
        <v>86</v>
      </c>
      <c r="J84" s="106" t="s">
        <v>87</v>
      </c>
      <c r="K84" s="96">
        <v>45806</v>
      </c>
      <c r="L84" s="109">
        <v>0.60416666666666663</v>
      </c>
      <c r="M84" s="96">
        <v>45806</v>
      </c>
      <c r="N84" s="108" t="s">
        <v>70</v>
      </c>
      <c r="O84" s="95"/>
    </row>
    <row r="85" spans="1:15" ht="30" hidden="1" customHeight="1" x14ac:dyDescent="0.3">
      <c r="A85" s="96">
        <v>45775</v>
      </c>
      <c r="B85" s="96">
        <v>45806</v>
      </c>
      <c r="C85" s="95" t="s">
        <v>15</v>
      </c>
      <c r="D85" s="95" t="s">
        <v>108</v>
      </c>
      <c r="E85" s="211">
        <v>9</v>
      </c>
      <c r="F85" s="211"/>
      <c r="G85" s="95" t="s">
        <v>74</v>
      </c>
      <c r="H85" s="95" t="s">
        <v>91</v>
      </c>
      <c r="I85" s="95" t="s">
        <v>62</v>
      </c>
      <c r="J85" s="95" t="s">
        <v>59</v>
      </c>
      <c r="K85" s="213">
        <v>45806</v>
      </c>
      <c r="L85" s="214">
        <v>0.35416666666666669</v>
      </c>
      <c r="M85" s="213">
        <v>45806</v>
      </c>
      <c r="N85" s="96" t="s">
        <v>70</v>
      </c>
      <c r="O85" s="212"/>
    </row>
    <row r="86" spans="1:15" ht="30" hidden="1" customHeight="1" x14ac:dyDescent="0.3">
      <c r="A86" s="96">
        <v>45776</v>
      </c>
      <c r="B86" s="96">
        <v>45806</v>
      </c>
      <c r="C86" s="210" t="s">
        <v>15</v>
      </c>
      <c r="D86" s="210" t="s">
        <v>107</v>
      </c>
      <c r="E86" s="205">
        <v>10</v>
      </c>
      <c r="F86" s="205"/>
      <c r="G86" s="210" t="s">
        <v>73</v>
      </c>
      <c r="H86" s="210" t="s">
        <v>93</v>
      </c>
      <c r="I86" s="210" t="s">
        <v>79</v>
      </c>
      <c r="J86" s="210" t="s">
        <v>80</v>
      </c>
      <c r="K86" s="206">
        <v>45806</v>
      </c>
      <c r="L86" s="201"/>
      <c r="M86" s="206">
        <v>45806</v>
      </c>
      <c r="N86" s="206" t="s">
        <v>70</v>
      </c>
      <c r="O86" s="207" t="s">
        <v>246</v>
      </c>
    </row>
    <row r="87" spans="1:15" ht="30" hidden="1" customHeight="1" x14ac:dyDescent="0.3">
      <c r="A87" s="96">
        <v>45776</v>
      </c>
      <c r="B87" s="96">
        <v>45806</v>
      </c>
      <c r="C87" s="95" t="s">
        <v>15</v>
      </c>
      <c r="D87" s="95" t="s">
        <v>107</v>
      </c>
      <c r="E87" s="100">
        <v>10</v>
      </c>
      <c r="F87" s="100"/>
      <c r="G87" s="95" t="s">
        <v>73</v>
      </c>
      <c r="H87" s="95" t="s">
        <v>103</v>
      </c>
      <c r="I87" s="95" t="s">
        <v>57</v>
      </c>
      <c r="J87" s="95" t="s">
        <v>85</v>
      </c>
      <c r="K87" s="96">
        <v>45806</v>
      </c>
      <c r="L87" s="99">
        <v>0.45833333333333331</v>
      </c>
      <c r="M87" s="96">
        <v>45806</v>
      </c>
      <c r="N87" s="96" t="s">
        <v>70</v>
      </c>
      <c r="O87" s="106"/>
    </row>
    <row r="88" spans="1:15" ht="30" hidden="1" customHeight="1" x14ac:dyDescent="0.3">
      <c r="A88" s="96"/>
      <c r="B88" s="96"/>
      <c r="C88" s="95" t="s">
        <v>15</v>
      </c>
      <c r="D88" s="95" t="s">
        <v>107</v>
      </c>
      <c r="E88" s="100">
        <v>11</v>
      </c>
      <c r="F88" s="100"/>
      <c r="G88" s="95" t="s">
        <v>73</v>
      </c>
      <c r="H88" s="95" t="s">
        <v>92</v>
      </c>
      <c r="I88" s="95" t="s">
        <v>118</v>
      </c>
      <c r="J88" s="95" t="s">
        <v>119</v>
      </c>
      <c r="K88" s="96">
        <v>45806</v>
      </c>
      <c r="L88" s="99">
        <v>0.52083333333333337</v>
      </c>
      <c r="M88" s="96">
        <v>45806</v>
      </c>
      <c r="N88" s="96" t="s">
        <v>70</v>
      </c>
      <c r="O88" s="106"/>
    </row>
    <row r="89" spans="1:15" ht="207" hidden="1" x14ac:dyDescent="0.3">
      <c r="A89" s="96">
        <v>45776</v>
      </c>
      <c r="B89" s="96">
        <v>45806</v>
      </c>
      <c r="C89" s="202" t="s">
        <v>17</v>
      </c>
      <c r="D89" s="202" t="s">
        <v>148</v>
      </c>
      <c r="E89" s="203">
        <v>1</v>
      </c>
      <c r="F89" s="203"/>
      <c r="G89" s="202" t="s">
        <v>73</v>
      </c>
      <c r="H89" s="202" t="s">
        <v>150</v>
      </c>
      <c r="I89" s="209" t="s">
        <v>86</v>
      </c>
      <c r="J89" s="209" t="s">
        <v>87</v>
      </c>
      <c r="K89" s="204">
        <v>45799</v>
      </c>
      <c r="L89" s="201">
        <v>0.72916666666666663</v>
      </c>
      <c r="M89" s="204">
        <v>45799</v>
      </c>
      <c r="N89" s="201">
        <v>0.77083333333333337</v>
      </c>
      <c r="O89" s="207" t="s">
        <v>244</v>
      </c>
    </row>
    <row r="90" spans="1:15" ht="142.19999999999999" hidden="1" customHeight="1" x14ac:dyDescent="0.3">
      <c r="A90" s="94" t="e" vm="1">
        <v>#VALUE!</v>
      </c>
      <c r="C90" s="302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</row>
    <row r="91" spans="1:15" ht="65.400000000000006" hidden="1" customHeight="1" x14ac:dyDescent="0.3">
      <c r="C91" s="304" t="s">
        <v>243</v>
      </c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</row>
  </sheetData>
  <sheetProtection formatCells="0" formatColumns="0" formatRows="0" insertColumns="0" insertRows="0" insertHyperlinks="0" deleteColumns="0" deleteRows="0" sort="0" autoFilter="0" pivotTables="0"/>
  <autoFilter ref="A8:O91" xr:uid="{2D5397B6-A7EF-44BC-AFEB-2E3D8598E273}">
    <filterColumn colId="7">
      <filters>
        <filter val="Zorica Mohnacki"/>
      </filters>
    </filterColumn>
  </autoFilter>
  <mergeCells count="4">
    <mergeCell ref="E1:O1"/>
    <mergeCell ref="C2:D2"/>
    <mergeCell ref="C90:O90"/>
    <mergeCell ref="C91:O91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B9DF-3AF4-4F65-8786-715493EB7168}">
  <dimension ref="A1:D66"/>
  <sheetViews>
    <sheetView topLeftCell="B2" zoomScale="90" zoomScaleNormal="90" workbookViewId="0">
      <selection activeCell="F11" sqref="F11"/>
    </sheetView>
  </sheetViews>
  <sheetFormatPr defaultColWidth="8.88671875" defaultRowHeight="13.8" x14ac:dyDescent="0.3"/>
  <cols>
    <col min="1" max="1" width="11.5546875" style="94" hidden="1" customWidth="1"/>
    <col min="2" max="2" width="11.5546875" style="94" customWidth="1"/>
    <col min="3" max="3" width="40.44140625" style="94" customWidth="1"/>
    <col min="4" max="4" width="31.109375" style="94" customWidth="1"/>
    <col min="5" max="16384" width="8.88671875" style="94"/>
  </cols>
  <sheetData>
    <row r="1" spans="1:4" s="3" customFormat="1" ht="95.7" customHeight="1" x14ac:dyDescent="0.3">
      <c r="A1" s="1"/>
    </row>
    <row r="2" spans="1:4" s="3" customFormat="1" ht="95.7" customHeight="1" x14ac:dyDescent="0.3">
      <c r="A2" s="1"/>
    </row>
    <row r="3" spans="1:4" ht="30.9" customHeight="1" x14ac:dyDescent="0.3">
      <c r="A3" s="98" t="s">
        <v>112</v>
      </c>
      <c r="B3" s="103" t="s">
        <v>143</v>
      </c>
      <c r="C3" s="103" t="s">
        <v>142</v>
      </c>
      <c r="D3" s="103" t="s">
        <v>144</v>
      </c>
    </row>
    <row r="4" spans="1:4" ht="30" customHeight="1" x14ac:dyDescent="0.3">
      <c r="A4" s="96">
        <v>45748</v>
      </c>
      <c r="B4" s="110">
        <v>45748</v>
      </c>
      <c r="C4" s="114" t="s">
        <v>122</v>
      </c>
      <c r="D4" s="114" t="s">
        <v>56</v>
      </c>
    </row>
    <row r="5" spans="1:4" ht="30" customHeight="1" x14ac:dyDescent="0.3">
      <c r="A5" s="96">
        <v>45750</v>
      </c>
      <c r="B5" s="111">
        <v>45750</v>
      </c>
      <c r="C5" s="115" t="s">
        <v>127</v>
      </c>
      <c r="D5" s="115" t="s">
        <v>131</v>
      </c>
    </row>
    <row r="6" spans="1:4" ht="30" customHeight="1" x14ac:dyDescent="0.3">
      <c r="A6" s="96">
        <v>45750</v>
      </c>
      <c r="B6" s="111">
        <v>45750</v>
      </c>
      <c r="C6" s="115" t="s">
        <v>122</v>
      </c>
      <c r="D6" s="115" t="s">
        <v>81</v>
      </c>
    </row>
    <row r="7" spans="1:4" ht="30" customHeight="1" x14ac:dyDescent="0.3">
      <c r="A7" s="96">
        <v>45750</v>
      </c>
      <c r="B7" s="111">
        <v>45750</v>
      </c>
      <c r="C7" s="115" t="s">
        <v>122</v>
      </c>
      <c r="D7" s="115" t="s">
        <v>57</v>
      </c>
    </row>
    <row r="8" spans="1:4" ht="30" customHeight="1" x14ac:dyDescent="0.3">
      <c r="A8" s="96">
        <v>45750</v>
      </c>
      <c r="B8" s="111">
        <v>45750</v>
      </c>
      <c r="C8" s="115" t="s">
        <v>122</v>
      </c>
      <c r="D8" s="115" t="s">
        <v>86</v>
      </c>
    </row>
    <row r="9" spans="1:4" ht="30" customHeight="1" x14ac:dyDescent="0.3">
      <c r="A9" s="96">
        <v>45751</v>
      </c>
      <c r="B9" s="112">
        <v>45751</v>
      </c>
      <c r="C9" s="116" t="s">
        <v>123</v>
      </c>
      <c r="D9" s="116" t="s">
        <v>118</v>
      </c>
    </row>
    <row r="10" spans="1:4" ht="30" customHeight="1" x14ac:dyDescent="0.3">
      <c r="A10" s="96">
        <v>45751</v>
      </c>
      <c r="B10" s="112">
        <v>45751</v>
      </c>
      <c r="C10" s="116" t="s">
        <v>122</v>
      </c>
      <c r="D10" s="116" t="s">
        <v>121</v>
      </c>
    </row>
    <row r="11" spans="1:4" ht="30" customHeight="1" x14ac:dyDescent="0.3">
      <c r="A11" s="96">
        <v>45754</v>
      </c>
      <c r="B11" s="111">
        <v>45754</v>
      </c>
      <c r="C11" s="115" t="s">
        <v>122</v>
      </c>
      <c r="D11" s="115" t="s">
        <v>55</v>
      </c>
    </row>
    <row r="12" spans="1:4" ht="30" customHeight="1" x14ac:dyDescent="0.3">
      <c r="A12" s="96">
        <v>45754</v>
      </c>
      <c r="B12" s="111">
        <v>45754</v>
      </c>
      <c r="C12" s="115" t="s">
        <v>123</v>
      </c>
      <c r="D12" s="115" t="s">
        <v>56</v>
      </c>
    </row>
    <row r="13" spans="1:4" ht="30" customHeight="1" x14ac:dyDescent="0.3">
      <c r="A13" s="96">
        <v>45754</v>
      </c>
      <c r="B13" s="111">
        <v>45754</v>
      </c>
      <c r="C13" s="115" t="s">
        <v>127</v>
      </c>
      <c r="D13" s="115" t="s">
        <v>139</v>
      </c>
    </row>
    <row r="14" spans="1:4" ht="30" customHeight="1" x14ac:dyDescent="0.3">
      <c r="A14" s="96">
        <v>45755</v>
      </c>
      <c r="B14" s="110">
        <v>45755</v>
      </c>
      <c r="C14" s="114" t="s">
        <v>134</v>
      </c>
      <c r="D14" s="114" t="s">
        <v>78</v>
      </c>
    </row>
    <row r="15" spans="1:4" ht="30" customHeight="1" x14ac:dyDescent="0.3">
      <c r="A15" s="96">
        <v>45755</v>
      </c>
      <c r="B15" s="110">
        <v>45755</v>
      </c>
      <c r="C15" s="114" t="s">
        <v>133</v>
      </c>
      <c r="D15" s="114" t="s">
        <v>78</v>
      </c>
    </row>
    <row r="16" spans="1:4" ht="30" customHeight="1" x14ac:dyDescent="0.3">
      <c r="A16" s="96">
        <v>45755</v>
      </c>
      <c r="B16" s="110">
        <v>45755</v>
      </c>
      <c r="C16" s="114" t="s">
        <v>123</v>
      </c>
      <c r="D16" s="114" t="s">
        <v>81</v>
      </c>
    </row>
    <row r="17" spans="1:4" ht="30" customHeight="1" x14ac:dyDescent="0.3">
      <c r="A17" s="96">
        <v>45756</v>
      </c>
      <c r="B17" s="111">
        <v>45756</v>
      </c>
      <c r="C17" s="115" t="s">
        <v>133</v>
      </c>
      <c r="D17" s="115" t="s">
        <v>132</v>
      </c>
    </row>
    <row r="18" spans="1:4" ht="30" customHeight="1" x14ac:dyDescent="0.3">
      <c r="A18" s="96">
        <v>45756</v>
      </c>
      <c r="B18" s="111">
        <v>45756</v>
      </c>
      <c r="C18" s="115" t="s">
        <v>134</v>
      </c>
      <c r="D18" s="115" t="s">
        <v>132</v>
      </c>
    </row>
    <row r="19" spans="1:4" ht="30" customHeight="1" x14ac:dyDescent="0.3">
      <c r="A19" s="96">
        <v>45757</v>
      </c>
      <c r="B19" s="110">
        <v>45757</v>
      </c>
      <c r="C19" s="114" t="s">
        <v>128</v>
      </c>
      <c r="D19" s="114" t="s">
        <v>131</v>
      </c>
    </row>
    <row r="20" spans="1:4" ht="30" customHeight="1" x14ac:dyDescent="0.3">
      <c r="A20" s="96">
        <v>45757</v>
      </c>
      <c r="B20" s="110">
        <v>45757</v>
      </c>
      <c r="C20" s="114" t="s">
        <v>123</v>
      </c>
      <c r="D20" s="114" t="s">
        <v>57</v>
      </c>
    </row>
    <row r="21" spans="1:4" ht="30" customHeight="1" x14ac:dyDescent="0.3">
      <c r="A21" s="96">
        <v>45757</v>
      </c>
      <c r="B21" s="110">
        <v>45757</v>
      </c>
      <c r="C21" s="114" t="s">
        <v>123</v>
      </c>
      <c r="D21" s="114" t="s">
        <v>86</v>
      </c>
    </row>
    <row r="22" spans="1:4" ht="30" customHeight="1" x14ac:dyDescent="0.3">
      <c r="A22" s="96"/>
      <c r="B22" s="111">
        <v>45758</v>
      </c>
      <c r="C22" s="115" t="s">
        <v>124</v>
      </c>
      <c r="D22" s="115" t="s">
        <v>86</v>
      </c>
    </row>
    <row r="23" spans="1:4" ht="30" customHeight="1" x14ac:dyDescent="0.3">
      <c r="A23" s="96">
        <v>45758</v>
      </c>
      <c r="B23" s="111">
        <v>45758</v>
      </c>
      <c r="C23" s="115" t="s">
        <v>124</v>
      </c>
      <c r="D23" s="115" t="s">
        <v>118</v>
      </c>
    </row>
    <row r="24" spans="1:4" ht="30" customHeight="1" x14ac:dyDescent="0.3">
      <c r="A24" s="96">
        <v>45758</v>
      </c>
      <c r="B24" s="111">
        <v>45758</v>
      </c>
      <c r="C24" s="115" t="s">
        <v>123</v>
      </c>
      <c r="D24" s="115" t="s">
        <v>121</v>
      </c>
    </row>
    <row r="25" spans="1:4" ht="30" customHeight="1" x14ac:dyDescent="0.3">
      <c r="A25" s="96">
        <v>45758</v>
      </c>
      <c r="B25" s="111">
        <v>45758</v>
      </c>
      <c r="C25" s="115" t="s">
        <v>124</v>
      </c>
      <c r="D25" s="115" t="s">
        <v>56</v>
      </c>
    </row>
    <row r="26" spans="1:4" ht="30" customHeight="1" x14ac:dyDescent="0.3">
      <c r="A26" s="96">
        <v>45761</v>
      </c>
      <c r="B26" s="110">
        <v>45761</v>
      </c>
      <c r="C26" s="114" t="s">
        <v>123</v>
      </c>
      <c r="D26" s="114" t="s">
        <v>55</v>
      </c>
    </row>
    <row r="27" spans="1:4" ht="30" customHeight="1" x14ac:dyDescent="0.3">
      <c r="A27" s="96">
        <v>45761</v>
      </c>
      <c r="B27" s="110">
        <v>45761</v>
      </c>
      <c r="C27" s="114" t="s">
        <v>128</v>
      </c>
      <c r="D27" s="114" t="s">
        <v>139</v>
      </c>
    </row>
    <row r="28" spans="1:4" ht="30" customHeight="1" x14ac:dyDescent="0.3">
      <c r="A28" s="96">
        <v>45762</v>
      </c>
      <c r="B28" s="111">
        <v>45762</v>
      </c>
      <c r="C28" s="115" t="s">
        <v>135</v>
      </c>
      <c r="D28" s="115" t="s">
        <v>78</v>
      </c>
    </row>
    <row r="29" spans="1:4" ht="30" customHeight="1" x14ac:dyDescent="0.3">
      <c r="A29" s="96">
        <v>45762</v>
      </c>
      <c r="B29" s="111">
        <v>45762</v>
      </c>
      <c r="C29" s="115" t="s">
        <v>138</v>
      </c>
      <c r="D29" s="115" t="s">
        <v>78</v>
      </c>
    </row>
    <row r="30" spans="1:4" ht="30" customHeight="1" x14ac:dyDescent="0.3">
      <c r="A30" s="96">
        <v>45762</v>
      </c>
      <c r="B30" s="111">
        <v>45762</v>
      </c>
      <c r="C30" s="115" t="s">
        <v>124</v>
      </c>
      <c r="D30" s="115" t="s">
        <v>81</v>
      </c>
    </row>
    <row r="31" spans="1:4" ht="30" customHeight="1" x14ac:dyDescent="0.3">
      <c r="A31" s="96">
        <v>45763</v>
      </c>
      <c r="B31" s="110">
        <v>45763</v>
      </c>
      <c r="C31" s="114" t="s">
        <v>135</v>
      </c>
      <c r="D31" s="114" t="s">
        <v>132</v>
      </c>
    </row>
    <row r="32" spans="1:4" ht="30" customHeight="1" x14ac:dyDescent="0.3">
      <c r="A32" s="96">
        <v>45763</v>
      </c>
      <c r="B32" s="110">
        <v>45763</v>
      </c>
      <c r="C32" s="114" t="s">
        <v>138</v>
      </c>
      <c r="D32" s="114" t="s">
        <v>132</v>
      </c>
    </row>
    <row r="33" spans="1:4" ht="30" customHeight="1" x14ac:dyDescent="0.3">
      <c r="A33" s="96">
        <v>45763</v>
      </c>
      <c r="B33" s="110">
        <v>45763</v>
      </c>
      <c r="C33" s="114" t="s">
        <v>124</v>
      </c>
      <c r="D33" s="114" t="s">
        <v>121</v>
      </c>
    </row>
    <row r="34" spans="1:4" ht="30" customHeight="1" x14ac:dyDescent="0.3">
      <c r="A34" s="96">
        <v>45764</v>
      </c>
      <c r="B34" s="111">
        <v>45764</v>
      </c>
      <c r="C34" s="115" t="s">
        <v>129</v>
      </c>
      <c r="D34" s="115" t="s">
        <v>131</v>
      </c>
    </row>
    <row r="35" spans="1:4" ht="30" customHeight="1" x14ac:dyDescent="0.3">
      <c r="A35" s="96">
        <v>45765</v>
      </c>
      <c r="B35" s="110">
        <v>45765</v>
      </c>
      <c r="C35" s="114" t="s">
        <v>129</v>
      </c>
      <c r="D35" s="114" t="s">
        <v>139</v>
      </c>
    </row>
    <row r="36" spans="1:4" ht="30" customHeight="1" x14ac:dyDescent="0.3">
      <c r="A36" s="96">
        <v>45769</v>
      </c>
      <c r="B36" s="111">
        <v>45769</v>
      </c>
      <c r="C36" s="115" t="s">
        <v>136</v>
      </c>
      <c r="D36" s="115" t="s">
        <v>78</v>
      </c>
    </row>
    <row r="37" spans="1:4" ht="30" customHeight="1" x14ac:dyDescent="0.3">
      <c r="A37" s="96">
        <v>45769</v>
      </c>
      <c r="B37" s="111">
        <v>45769</v>
      </c>
      <c r="C37" s="115" t="s">
        <v>140</v>
      </c>
      <c r="D37" s="115" t="s">
        <v>78</v>
      </c>
    </row>
    <row r="38" spans="1:4" ht="30" customHeight="1" x14ac:dyDescent="0.3">
      <c r="A38" s="96">
        <v>45769</v>
      </c>
      <c r="B38" s="111">
        <v>45769</v>
      </c>
      <c r="C38" s="115" t="s">
        <v>125</v>
      </c>
      <c r="D38" s="115" t="s">
        <v>81</v>
      </c>
    </row>
    <row r="39" spans="1:4" ht="30" customHeight="1" x14ac:dyDescent="0.3">
      <c r="A39" s="96">
        <v>45770</v>
      </c>
      <c r="B39" s="110">
        <v>45770</v>
      </c>
      <c r="C39" s="114" t="s">
        <v>124</v>
      </c>
      <c r="D39" s="114" t="s">
        <v>55</v>
      </c>
    </row>
    <row r="40" spans="1:4" ht="30" customHeight="1" x14ac:dyDescent="0.3">
      <c r="A40" s="96">
        <v>45770</v>
      </c>
      <c r="B40" s="110">
        <v>45770</v>
      </c>
      <c r="C40" s="114" t="s">
        <v>136</v>
      </c>
      <c r="D40" s="114" t="s">
        <v>132</v>
      </c>
    </row>
    <row r="41" spans="1:4" ht="30" customHeight="1" x14ac:dyDescent="0.3">
      <c r="A41" s="96">
        <v>45770</v>
      </c>
      <c r="B41" s="110">
        <v>45770</v>
      </c>
      <c r="C41" s="114" t="s">
        <v>138</v>
      </c>
      <c r="D41" s="114" t="s">
        <v>132</v>
      </c>
    </row>
    <row r="42" spans="1:4" ht="30" customHeight="1" x14ac:dyDescent="0.3">
      <c r="A42" s="96">
        <v>45770</v>
      </c>
      <c r="B42" s="110">
        <v>45770</v>
      </c>
      <c r="C42" s="114" t="s">
        <v>125</v>
      </c>
      <c r="D42" s="114" t="s">
        <v>121</v>
      </c>
    </row>
    <row r="43" spans="1:4" ht="30" customHeight="1" x14ac:dyDescent="0.3">
      <c r="A43" s="96">
        <v>45771</v>
      </c>
      <c r="B43" s="111">
        <v>45771</v>
      </c>
      <c r="C43" s="115" t="s">
        <v>130</v>
      </c>
      <c r="D43" s="115" t="s">
        <v>131</v>
      </c>
    </row>
    <row r="44" spans="1:4" ht="30" customHeight="1" x14ac:dyDescent="0.3">
      <c r="A44" s="96">
        <v>45771</v>
      </c>
      <c r="B44" s="111">
        <v>45771</v>
      </c>
      <c r="C44" s="115" t="s">
        <v>125</v>
      </c>
      <c r="D44" s="115" t="s">
        <v>56</v>
      </c>
    </row>
    <row r="45" spans="1:4" ht="30" customHeight="1" x14ac:dyDescent="0.3">
      <c r="A45" s="96">
        <v>45771</v>
      </c>
      <c r="B45" s="111">
        <v>45771</v>
      </c>
      <c r="C45" s="115" t="s">
        <v>124</v>
      </c>
      <c r="D45" s="115" t="s">
        <v>57</v>
      </c>
    </row>
    <row r="46" spans="1:4" ht="30" customHeight="1" x14ac:dyDescent="0.3">
      <c r="A46" s="101">
        <v>45771</v>
      </c>
      <c r="B46" s="113">
        <v>45771</v>
      </c>
      <c r="C46" s="117" t="s">
        <v>122</v>
      </c>
      <c r="D46" s="117" t="s">
        <v>86</v>
      </c>
    </row>
    <row r="47" spans="1:4" ht="30" customHeight="1" x14ac:dyDescent="0.3">
      <c r="A47" s="96">
        <v>45775</v>
      </c>
      <c r="B47" s="110">
        <v>45775</v>
      </c>
      <c r="C47" s="114" t="s">
        <v>125</v>
      </c>
      <c r="D47" s="114" t="s">
        <v>55</v>
      </c>
    </row>
    <row r="48" spans="1:4" ht="30" customHeight="1" x14ac:dyDescent="0.3">
      <c r="A48" s="96">
        <v>45775</v>
      </c>
      <c r="B48" s="110">
        <v>45775</v>
      </c>
      <c r="C48" s="114" t="s">
        <v>130</v>
      </c>
      <c r="D48" s="114" t="s">
        <v>139</v>
      </c>
    </row>
    <row r="49" spans="1:4" ht="30" customHeight="1" x14ac:dyDescent="0.3">
      <c r="A49" s="96">
        <v>45775</v>
      </c>
      <c r="B49" s="110">
        <v>45775</v>
      </c>
      <c r="C49" s="114" t="s">
        <v>123</v>
      </c>
      <c r="D49" s="114" t="s">
        <v>121</v>
      </c>
    </row>
    <row r="50" spans="1:4" ht="30" customHeight="1" x14ac:dyDescent="0.3">
      <c r="A50" s="96">
        <v>45776</v>
      </c>
      <c r="B50" s="111">
        <v>45776</v>
      </c>
      <c r="C50" s="115" t="s">
        <v>137</v>
      </c>
      <c r="D50" s="115" t="s">
        <v>78</v>
      </c>
    </row>
    <row r="51" spans="1:4" ht="30" customHeight="1" x14ac:dyDescent="0.3">
      <c r="A51" s="96">
        <v>45776</v>
      </c>
      <c r="B51" s="111">
        <v>45776</v>
      </c>
      <c r="C51" s="115" t="s">
        <v>141</v>
      </c>
      <c r="D51" s="115" t="s">
        <v>78</v>
      </c>
    </row>
    <row r="52" spans="1:4" ht="30" customHeight="1" x14ac:dyDescent="0.3">
      <c r="A52" s="96">
        <v>45776</v>
      </c>
      <c r="B52" s="111">
        <v>45776</v>
      </c>
      <c r="C52" s="115" t="s">
        <v>126</v>
      </c>
      <c r="D52" s="115" t="s">
        <v>81</v>
      </c>
    </row>
    <row r="53" spans="1:4" ht="30" customHeight="1" x14ac:dyDescent="0.3">
      <c r="A53" s="96">
        <v>45777</v>
      </c>
      <c r="B53" s="110">
        <v>45777</v>
      </c>
      <c r="C53" s="114" t="s">
        <v>137</v>
      </c>
      <c r="D53" s="114" t="s">
        <v>132</v>
      </c>
    </row>
    <row r="54" spans="1:4" ht="30" customHeight="1" x14ac:dyDescent="0.3">
      <c r="A54" s="96">
        <v>45777</v>
      </c>
      <c r="B54" s="110">
        <v>45777</v>
      </c>
      <c r="C54" s="114" t="s">
        <v>138</v>
      </c>
      <c r="D54" s="114" t="s">
        <v>132</v>
      </c>
    </row>
    <row r="66" spans="2:3" x14ac:dyDescent="0.3">
      <c r="B66" s="118" t="s">
        <v>145</v>
      </c>
      <c r="C66" s="104"/>
    </row>
  </sheetData>
  <autoFilter ref="A3:D54" xr:uid="{2D5397B6-A7EF-44BC-AFEB-2E3D8598E273}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2B41-4B2C-49F2-8782-07261F3B08C5}">
  <dimension ref="A1:O387"/>
  <sheetViews>
    <sheetView showGridLines="0" topLeftCell="B1" zoomScale="90" zoomScaleNormal="90" workbookViewId="0">
      <pane ySplit="8" topLeftCell="A184" activePane="bottomLeft" state="frozen"/>
      <selection activeCell="B1" sqref="B1"/>
      <selection pane="bottomLeft" activeCell="F198" sqref="F198"/>
    </sheetView>
  </sheetViews>
  <sheetFormatPr defaultColWidth="8.88671875" defaultRowHeight="13.8" x14ac:dyDescent="0.3"/>
  <cols>
    <col min="1" max="1" width="11.5546875" style="94" hidden="1" customWidth="1"/>
    <col min="2" max="2" width="42.109375" style="94" customWidth="1"/>
    <col min="3" max="3" width="40.44140625" style="94" customWidth="1"/>
    <col min="4" max="5" width="7.88671875" style="94" customWidth="1"/>
    <col min="6" max="6" width="16.44140625" style="94" customWidth="1"/>
    <col min="7" max="7" width="18.33203125" style="94" customWidth="1"/>
    <col min="8" max="8" width="22.88671875" style="94" customWidth="1"/>
    <col min="9" max="9" width="26.33203125" style="94" customWidth="1"/>
    <col min="10" max="13" width="11.5546875" style="94" customWidth="1"/>
    <col min="14" max="14" width="21.88671875" style="94" customWidth="1"/>
    <col min="15" max="16384" width="8.88671875" style="94"/>
  </cols>
  <sheetData>
    <row r="1" spans="1:14" ht="15" customHeight="1" x14ac:dyDescent="0.3">
      <c r="B1" s="104" t="s">
        <v>113</v>
      </c>
      <c r="D1" s="299" t="s">
        <v>114</v>
      </c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s="3" customFormat="1" ht="31.2" customHeight="1" x14ac:dyDescent="0.3">
      <c r="A2" s="300" t="s">
        <v>115</v>
      </c>
      <c r="B2" s="301"/>
    </row>
    <row r="3" spans="1:14" s="3" customFormat="1" ht="15" customHeight="1" x14ac:dyDescent="0.3">
      <c r="A3" s="1"/>
      <c r="B3" s="64" t="s">
        <v>116</v>
      </c>
    </row>
    <row r="4" spans="1:14" s="3" customFormat="1" ht="15" customHeight="1" x14ac:dyDescent="0.3">
      <c r="A4" s="1"/>
      <c r="B4" s="64" t="s">
        <v>117</v>
      </c>
    </row>
    <row r="5" spans="1:14" s="3" customFormat="1" ht="8.1" customHeight="1" x14ac:dyDescent="0.3">
      <c r="A5" s="1"/>
      <c r="B5" s="64"/>
    </row>
    <row r="6" spans="1:14" s="3" customFormat="1" ht="31.2" customHeight="1" x14ac:dyDescent="0.3">
      <c r="A6" s="1"/>
      <c r="B6" s="105" t="s">
        <v>240</v>
      </c>
    </row>
    <row r="7" spans="1:14" s="3" customFormat="1" ht="8.1" customHeight="1" x14ac:dyDescent="0.3">
      <c r="A7" s="1"/>
      <c r="B7" s="64"/>
    </row>
    <row r="8" spans="1:14" ht="61.5" customHeight="1" x14ac:dyDescent="0.3">
      <c r="A8" s="98" t="s">
        <v>112</v>
      </c>
      <c r="B8" s="103" t="s">
        <v>106</v>
      </c>
      <c r="C8" s="103" t="s">
        <v>72</v>
      </c>
      <c r="D8" s="197" t="s">
        <v>241</v>
      </c>
      <c r="E8" s="103" t="s">
        <v>60</v>
      </c>
      <c r="F8" s="103" t="s">
        <v>88</v>
      </c>
      <c r="G8" s="103" t="s">
        <v>89</v>
      </c>
      <c r="H8" s="103" t="s">
        <v>64</v>
      </c>
      <c r="I8" s="103" t="s">
        <v>65</v>
      </c>
      <c r="J8" s="103" t="s">
        <v>66</v>
      </c>
      <c r="K8" s="103" t="s">
        <v>67</v>
      </c>
      <c r="L8" s="103" t="s">
        <v>69</v>
      </c>
      <c r="M8" s="103" t="s">
        <v>68</v>
      </c>
      <c r="N8" s="103" t="s">
        <v>109</v>
      </c>
    </row>
    <row r="9" spans="1:14" ht="27.6" x14ac:dyDescent="0.3">
      <c r="A9" s="96">
        <v>45748</v>
      </c>
      <c r="B9" s="95" t="s">
        <v>15</v>
      </c>
      <c r="C9" s="95" t="s">
        <v>107</v>
      </c>
      <c r="D9" s="100">
        <v>1</v>
      </c>
      <c r="E9" s="100"/>
      <c r="F9" s="95" t="s">
        <v>73</v>
      </c>
      <c r="G9" s="95" t="s">
        <v>95</v>
      </c>
      <c r="H9" s="95" t="s">
        <v>56</v>
      </c>
      <c r="I9" s="95" t="s">
        <v>83</v>
      </c>
      <c r="J9" s="96">
        <v>45748</v>
      </c>
      <c r="K9" s="99">
        <v>0.51388888888888884</v>
      </c>
      <c r="L9" s="96">
        <v>45748</v>
      </c>
      <c r="M9" s="96" t="s">
        <v>70</v>
      </c>
      <c r="N9" s="95"/>
    </row>
    <row r="10" spans="1:14" ht="124.2" x14ac:dyDescent="0.3">
      <c r="A10" s="140">
        <v>45748</v>
      </c>
      <c r="B10" s="141" t="s">
        <v>156</v>
      </c>
      <c r="C10" s="136" t="s">
        <v>105</v>
      </c>
      <c r="D10" s="137"/>
      <c r="E10" s="137"/>
      <c r="F10" s="136" t="s">
        <v>73</v>
      </c>
      <c r="G10" s="136" t="s">
        <v>110</v>
      </c>
      <c r="H10" s="136" t="s">
        <v>73</v>
      </c>
      <c r="I10" s="136" t="s">
        <v>98</v>
      </c>
      <c r="J10" s="138">
        <v>45748</v>
      </c>
      <c r="K10" s="139">
        <v>0.75</v>
      </c>
      <c r="L10" s="138">
        <v>45748</v>
      </c>
      <c r="M10" s="139">
        <v>0.83333333333333337</v>
      </c>
      <c r="N10" s="136"/>
    </row>
    <row r="11" spans="1:14" ht="27.6" x14ac:dyDescent="0.3">
      <c r="A11" s="97">
        <v>45749</v>
      </c>
      <c r="B11" s="136" t="s">
        <v>21</v>
      </c>
      <c r="C11" s="136" t="s">
        <v>54</v>
      </c>
      <c r="D11" s="137"/>
      <c r="E11" s="137"/>
      <c r="F11" s="136" t="s">
        <v>96</v>
      </c>
      <c r="G11" s="136" t="s">
        <v>102</v>
      </c>
      <c r="H11" s="136" t="s">
        <v>71</v>
      </c>
      <c r="I11" s="136" t="s">
        <v>97</v>
      </c>
      <c r="J11" s="138">
        <v>45749</v>
      </c>
      <c r="K11" s="139">
        <v>0.45833333333333331</v>
      </c>
      <c r="L11" s="138">
        <v>45749</v>
      </c>
      <c r="M11" s="139">
        <v>0.66666666666666663</v>
      </c>
      <c r="N11" s="136"/>
    </row>
    <row r="12" spans="1:14" ht="27.6" x14ac:dyDescent="0.3">
      <c r="A12" s="96">
        <v>45750</v>
      </c>
      <c r="B12" s="95" t="s">
        <v>15</v>
      </c>
      <c r="C12" s="95" t="s">
        <v>108</v>
      </c>
      <c r="D12" s="100">
        <v>1</v>
      </c>
      <c r="E12" s="100"/>
      <c r="F12" s="95" t="s">
        <v>74</v>
      </c>
      <c r="G12" s="95" t="s">
        <v>91</v>
      </c>
      <c r="H12" s="95" t="s">
        <v>62</v>
      </c>
      <c r="I12" s="95" t="s">
        <v>59</v>
      </c>
      <c r="J12" s="96">
        <v>45750</v>
      </c>
      <c r="K12" s="99">
        <v>0.35416666666666669</v>
      </c>
      <c r="L12" s="96">
        <v>45750</v>
      </c>
      <c r="M12" s="96" t="s">
        <v>70</v>
      </c>
      <c r="N12" s="95"/>
    </row>
    <row r="13" spans="1:14" ht="27.6" x14ac:dyDescent="0.3">
      <c r="A13" s="96">
        <v>45750</v>
      </c>
      <c r="B13" s="95" t="s">
        <v>15</v>
      </c>
      <c r="C13" s="95" t="s">
        <v>107</v>
      </c>
      <c r="D13" s="100">
        <v>1</v>
      </c>
      <c r="E13" s="100"/>
      <c r="F13" s="95" t="s">
        <v>73</v>
      </c>
      <c r="G13" s="95" t="s">
        <v>94</v>
      </c>
      <c r="H13" s="95" t="s">
        <v>81</v>
      </c>
      <c r="I13" s="95" t="s">
        <v>82</v>
      </c>
      <c r="J13" s="96">
        <v>45750</v>
      </c>
      <c r="K13" s="99">
        <v>0.58333333333333337</v>
      </c>
      <c r="L13" s="96">
        <v>45750</v>
      </c>
      <c r="M13" s="96" t="s">
        <v>70</v>
      </c>
      <c r="N13" s="95"/>
    </row>
    <row r="14" spans="1:14" ht="27.6" x14ac:dyDescent="0.3">
      <c r="A14" s="96">
        <v>45750</v>
      </c>
      <c r="B14" s="95" t="s">
        <v>15</v>
      </c>
      <c r="C14" s="95" t="s">
        <v>107</v>
      </c>
      <c r="D14" s="100">
        <v>1</v>
      </c>
      <c r="E14" s="100"/>
      <c r="F14" s="95" t="s">
        <v>73</v>
      </c>
      <c r="G14" s="95" t="s">
        <v>103</v>
      </c>
      <c r="H14" s="95" t="s">
        <v>84</v>
      </c>
      <c r="I14" s="95" t="s">
        <v>85</v>
      </c>
      <c r="J14" s="96">
        <v>45750</v>
      </c>
      <c r="K14" s="99">
        <v>0.45833333333333331</v>
      </c>
      <c r="L14" s="96">
        <v>45750</v>
      </c>
      <c r="M14" s="96" t="s">
        <v>70</v>
      </c>
      <c r="N14" s="95"/>
    </row>
    <row r="15" spans="1:14" ht="27.6" x14ac:dyDescent="0.3">
      <c r="A15" s="96">
        <v>45750</v>
      </c>
      <c r="B15" s="95" t="s">
        <v>15</v>
      </c>
      <c r="C15" s="95" t="s">
        <v>107</v>
      </c>
      <c r="D15" s="100">
        <v>1</v>
      </c>
      <c r="E15" s="100"/>
      <c r="F15" s="95" t="s">
        <v>73</v>
      </c>
      <c r="G15" s="95" t="s">
        <v>104</v>
      </c>
      <c r="H15" s="95" t="s">
        <v>86</v>
      </c>
      <c r="I15" s="95" t="s">
        <v>87</v>
      </c>
      <c r="J15" s="96">
        <v>45750</v>
      </c>
      <c r="K15" s="99">
        <v>0.58333333333333337</v>
      </c>
      <c r="L15" s="96">
        <v>45750</v>
      </c>
      <c r="M15" s="96" t="s">
        <v>70</v>
      </c>
      <c r="N15" s="95"/>
    </row>
    <row r="16" spans="1:14" ht="27.6" x14ac:dyDescent="0.3">
      <c r="A16" s="96">
        <v>45751</v>
      </c>
      <c r="B16" s="95" t="s">
        <v>15</v>
      </c>
      <c r="C16" s="95" t="s">
        <v>107</v>
      </c>
      <c r="D16" s="100">
        <v>2</v>
      </c>
      <c r="E16" s="100"/>
      <c r="F16" s="95" t="s">
        <v>73</v>
      </c>
      <c r="G16" s="95" t="s">
        <v>92</v>
      </c>
      <c r="H16" s="95" t="s">
        <v>118</v>
      </c>
      <c r="I16" s="95" t="s">
        <v>119</v>
      </c>
      <c r="J16" s="96">
        <v>45751</v>
      </c>
      <c r="K16" s="99">
        <v>0.52083333333333337</v>
      </c>
      <c r="L16" s="96">
        <v>45751</v>
      </c>
      <c r="M16" s="96" t="s">
        <v>70</v>
      </c>
      <c r="N16" s="95"/>
    </row>
    <row r="17" spans="1:14" ht="27.6" x14ac:dyDescent="0.3">
      <c r="A17" s="96">
        <v>45751</v>
      </c>
      <c r="B17" s="95" t="s">
        <v>15</v>
      </c>
      <c r="C17" s="95" t="s">
        <v>107</v>
      </c>
      <c r="D17" s="100">
        <v>1</v>
      </c>
      <c r="E17" s="100"/>
      <c r="F17" s="95" t="s">
        <v>73</v>
      </c>
      <c r="G17" s="95" t="s">
        <v>93</v>
      </c>
      <c r="H17" s="95" t="s">
        <v>79</v>
      </c>
      <c r="I17" s="95" t="s">
        <v>80</v>
      </c>
      <c r="J17" s="96">
        <v>45751</v>
      </c>
      <c r="K17" s="99">
        <v>0.54166666666666663</v>
      </c>
      <c r="L17" s="96">
        <v>45751</v>
      </c>
      <c r="M17" s="96" t="s">
        <v>70</v>
      </c>
      <c r="N17" s="95"/>
    </row>
    <row r="18" spans="1:14" ht="27.6" x14ac:dyDescent="0.3">
      <c r="A18" s="96">
        <v>45754</v>
      </c>
      <c r="B18" s="95" t="s">
        <v>15</v>
      </c>
      <c r="C18" s="95" t="s">
        <v>107</v>
      </c>
      <c r="D18" s="100">
        <v>1</v>
      </c>
      <c r="E18" s="100"/>
      <c r="F18" s="95" t="s">
        <v>73</v>
      </c>
      <c r="G18" s="95" t="s">
        <v>90</v>
      </c>
      <c r="H18" s="95" t="s">
        <v>55</v>
      </c>
      <c r="I18" s="95" t="s">
        <v>63</v>
      </c>
      <c r="J18" s="96">
        <v>45754</v>
      </c>
      <c r="K18" s="99">
        <v>0.54861111111111116</v>
      </c>
      <c r="L18" s="96">
        <v>45754</v>
      </c>
      <c r="M18" s="96" t="s">
        <v>70</v>
      </c>
      <c r="N18" s="95"/>
    </row>
    <row r="19" spans="1:14" ht="27.6" x14ac:dyDescent="0.3">
      <c r="A19" s="96">
        <v>45754</v>
      </c>
      <c r="B19" s="95" t="s">
        <v>15</v>
      </c>
      <c r="C19" s="95" t="s">
        <v>107</v>
      </c>
      <c r="D19" s="100">
        <v>2</v>
      </c>
      <c r="E19" s="100"/>
      <c r="F19" s="95" t="s">
        <v>73</v>
      </c>
      <c r="G19" s="95" t="s">
        <v>95</v>
      </c>
      <c r="H19" s="95" t="s">
        <v>56</v>
      </c>
      <c r="I19" s="95" t="s">
        <v>83</v>
      </c>
      <c r="J19" s="96">
        <v>45754</v>
      </c>
      <c r="K19" s="99">
        <v>0.51388888888888884</v>
      </c>
      <c r="L19" s="96">
        <v>45754</v>
      </c>
      <c r="M19" s="96" t="s">
        <v>70</v>
      </c>
      <c r="N19" s="95"/>
    </row>
    <row r="20" spans="1:14" ht="27.6" x14ac:dyDescent="0.3">
      <c r="A20" s="96">
        <v>45754</v>
      </c>
      <c r="B20" s="95" t="s">
        <v>15</v>
      </c>
      <c r="C20" s="95" t="s">
        <v>108</v>
      </c>
      <c r="D20" s="100">
        <v>1</v>
      </c>
      <c r="E20" s="100"/>
      <c r="F20" s="95" t="s">
        <v>74</v>
      </c>
      <c r="G20" s="95" t="s">
        <v>91</v>
      </c>
      <c r="H20" s="95" t="s">
        <v>75</v>
      </c>
      <c r="I20" s="95" t="s">
        <v>76</v>
      </c>
      <c r="J20" s="96">
        <v>45754</v>
      </c>
      <c r="K20" s="99">
        <v>0.35416666666666669</v>
      </c>
      <c r="L20" s="96">
        <v>45754</v>
      </c>
      <c r="M20" s="96" t="s">
        <v>70</v>
      </c>
      <c r="N20" s="95"/>
    </row>
    <row r="21" spans="1:14" ht="27.6" x14ac:dyDescent="0.3">
      <c r="A21" s="96">
        <v>45755</v>
      </c>
      <c r="B21" s="95" t="s">
        <v>15</v>
      </c>
      <c r="C21" s="95" t="s">
        <v>108</v>
      </c>
      <c r="D21" s="100">
        <v>1</v>
      </c>
      <c r="E21" s="100">
        <v>1</v>
      </c>
      <c r="F21" s="95" t="s">
        <v>74</v>
      </c>
      <c r="G21" s="95" t="s">
        <v>91</v>
      </c>
      <c r="H21" s="95" t="s">
        <v>78</v>
      </c>
      <c r="I21" s="95" t="s">
        <v>77</v>
      </c>
      <c r="J21" s="96">
        <v>45755</v>
      </c>
      <c r="K21" s="99">
        <v>0.35416666666666669</v>
      </c>
      <c r="L21" s="96">
        <v>45755</v>
      </c>
      <c r="M21" s="96" t="s">
        <v>70</v>
      </c>
      <c r="N21" s="95"/>
    </row>
    <row r="22" spans="1:14" ht="27.6" x14ac:dyDescent="0.3">
      <c r="A22" s="96">
        <v>45755</v>
      </c>
      <c r="B22" s="95" t="s">
        <v>15</v>
      </c>
      <c r="C22" s="95" t="s">
        <v>108</v>
      </c>
      <c r="D22" s="100">
        <v>1</v>
      </c>
      <c r="E22" s="100">
        <v>2</v>
      </c>
      <c r="F22" s="95" t="s">
        <v>74</v>
      </c>
      <c r="G22" s="95" t="s">
        <v>91</v>
      </c>
      <c r="H22" s="95" t="s">
        <v>78</v>
      </c>
      <c r="I22" s="95" t="s">
        <v>77</v>
      </c>
      <c r="J22" s="96">
        <v>45755</v>
      </c>
      <c r="K22" s="99">
        <v>0.51041666666666663</v>
      </c>
      <c r="L22" s="96">
        <v>45755</v>
      </c>
      <c r="M22" s="96" t="s">
        <v>70</v>
      </c>
      <c r="N22" s="95"/>
    </row>
    <row r="23" spans="1:14" ht="27.6" x14ac:dyDescent="0.3">
      <c r="A23" s="96">
        <v>45755</v>
      </c>
      <c r="B23" s="95" t="s">
        <v>15</v>
      </c>
      <c r="C23" s="95" t="s">
        <v>107</v>
      </c>
      <c r="D23" s="100">
        <v>2</v>
      </c>
      <c r="E23" s="100"/>
      <c r="F23" s="95" t="s">
        <v>73</v>
      </c>
      <c r="G23" s="95" t="s">
        <v>94</v>
      </c>
      <c r="H23" s="95" t="s">
        <v>81</v>
      </c>
      <c r="I23" s="95" t="s">
        <v>82</v>
      </c>
      <c r="J23" s="96">
        <v>45755</v>
      </c>
      <c r="K23" s="99">
        <v>0.54861111111111116</v>
      </c>
      <c r="L23" s="96">
        <v>45755</v>
      </c>
      <c r="M23" s="96" t="s">
        <v>70</v>
      </c>
      <c r="N23" s="95"/>
    </row>
    <row r="24" spans="1:14" ht="27.6" x14ac:dyDescent="0.3">
      <c r="A24" s="96">
        <v>45756</v>
      </c>
      <c r="B24" s="95" t="s">
        <v>15</v>
      </c>
      <c r="C24" s="95" t="s">
        <v>108</v>
      </c>
      <c r="D24" s="100">
        <v>1</v>
      </c>
      <c r="E24" s="100">
        <v>2</v>
      </c>
      <c r="F24" s="95" t="s">
        <v>74</v>
      </c>
      <c r="G24" s="95" t="s">
        <v>91</v>
      </c>
      <c r="H24" s="95" t="s">
        <v>61</v>
      </c>
      <c r="I24" s="95" t="s">
        <v>58</v>
      </c>
      <c r="J24" s="96">
        <v>45756</v>
      </c>
      <c r="K24" s="99">
        <v>0.51041666666666663</v>
      </c>
      <c r="L24" s="96">
        <v>45756</v>
      </c>
      <c r="M24" s="96" t="s">
        <v>70</v>
      </c>
      <c r="N24" s="95"/>
    </row>
    <row r="25" spans="1:14" ht="27.6" x14ac:dyDescent="0.3">
      <c r="A25" s="96">
        <v>45756</v>
      </c>
      <c r="B25" s="95" t="s">
        <v>15</v>
      </c>
      <c r="C25" s="95" t="s">
        <v>108</v>
      </c>
      <c r="D25" s="100">
        <v>1</v>
      </c>
      <c r="E25" s="100">
        <v>1</v>
      </c>
      <c r="F25" s="95" t="s">
        <v>74</v>
      </c>
      <c r="G25" s="95" t="s">
        <v>91</v>
      </c>
      <c r="H25" s="95" t="s">
        <v>61</v>
      </c>
      <c r="I25" s="95" t="s">
        <v>58</v>
      </c>
      <c r="J25" s="96">
        <v>45756</v>
      </c>
      <c r="K25" s="99">
        <v>0.35416666666666669</v>
      </c>
      <c r="L25" s="96">
        <v>45756</v>
      </c>
      <c r="M25" s="96" t="s">
        <v>70</v>
      </c>
      <c r="N25" s="95"/>
    </row>
    <row r="26" spans="1:14" ht="27.6" x14ac:dyDescent="0.3">
      <c r="A26" s="96">
        <v>45757</v>
      </c>
      <c r="B26" s="95" t="s">
        <v>15</v>
      </c>
      <c r="C26" s="95" t="s">
        <v>108</v>
      </c>
      <c r="D26" s="100">
        <v>2</v>
      </c>
      <c r="E26" s="100"/>
      <c r="F26" s="95" t="s">
        <v>74</v>
      </c>
      <c r="G26" s="95" t="s">
        <v>91</v>
      </c>
      <c r="H26" s="95" t="s">
        <v>62</v>
      </c>
      <c r="I26" s="95" t="s">
        <v>59</v>
      </c>
      <c r="J26" s="96">
        <v>45757</v>
      </c>
      <c r="K26" s="99">
        <v>0.35416666666666669</v>
      </c>
      <c r="L26" s="96">
        <v>45757</v>
      </c>
      <c r="M26" s="96" t="s">
        <v>70</v>
      </c>
      <c r="N26" s="95"/>
    </row>
    <row r="27" spans="1:14" ht="27.6" x14ac:dyDescent="0.3">
      <c r="A27" s="96">
        <v>45757</v>
      </c>
      <c r="B27" s="95" t="s">
        <v>15</v>
      </c>
      <c r="C27" s="95" t="s">
        <v>107</v>
      </c>
      <c r="D27" s="100">
        <v>2</v>
      </c>
      <c r="E27" s="100"/>
      <c r="F27" s="95" t="s">
        <v>73</v>
      </c>
      <c r="G27" s="95" t="s">
        <v>103</v>
      </c>
      <c r="H27" s="95" t="s">
        <v>57</v>
      </c>
      <c r="I27" s="95" t="s">
        <v>85</v>
      </c>
      <c r="J27" s="96">
        <v>45757</v>
      </c>
      <c r="K27" s="99">
        <v>0.45833333333333331</v>
      </c>
      <c r="L27" s="96">
        <v>45757</v>
      </c>
      <c r="M27" s="96" t="s">
        <v>70</v>
      </c>
      <c r="N27" s="95"/>
    </row>
    <row r="28" spans="1:14" ht="27.6" x14ac:dyDescent="0.3">
      <c r="A28" s="96">
        <v>45757</v>
      </c>
      <c r="B28" s="95" t="s">
        <v>15</v>
      </c>
      <c r="C28" s="95" t="s">
        <v>107</v>
      </c>
      <c r="D28" s="100">
        <v>2</v>
      </c>
      <c r="E28" s="100"/>
      <c r="F28" s="95" t="s">
        <v>73</v>
      </c>
      <c r="G28" s="95" t="s">
        <v>104</v>
      </c>
      <c r="H28" s="95" t="s">
        <v>86</v>
      </c>
      <c r="I28" s="95" t="s">
        <v>87</v>
      </c>
      <c r="J28" s="96">
        <v>45757</v>
      </c>
      <c r="K28" s="99">
        <v>0.58333333333333337</v>
      </c>
      <c r="L28" s="96">
        <v>45757</v>
      </c>
      <c r="M28" s="96" t="s">
        <v>70</v>
      </c>
      <c r="N28" s="95"/>
    </row>
    <row r="29" spans="1:14" ht="27.6" x14ac:dyDescent="0.3">
      <c r="A29" s="96"/>
      <c r="B29" s="95" t="s">
        <v>15</v>
      </c>
      <c r="C29" s="95" t="s">
        <v>107</v>
      </c>
      <c r="D29" s="100">
        <v>3</v>
      </c>
      <c r="E29" s="100"/>
      <c r="F29" s="95" t="s">
        <v>73</v>
      </c>
      <c r="G29" s="95" t="s">
        <v>104</v>
      </c>
      <c r="H29" s="95" t="s">
        <v>86</v>
      </c>
      <c r="I29" s="95" t="s">
        <v>87</v>
      </c>
      <c r="J29" s="96">
        <v>45758</v>
      </c>
      <c r="K29" s="99">
        <v>0.33333333333333331</v>
      </c>
      <c r="L29" s="96">
        <v>45758</v>
      </c>
      <c r="M29" s="96" t="s">
        <v>70</v>
      </c>
      <c r="N29" s="95"/>
    </row>
    <row r="30" spans="1:14" ht="27.6" x14ac:dyDescent="0.3">
      <c r="A30" s="96">
        <v>45758</v>
      </c>
      <c r="B30" s="95" t="s">
        <v>15</v>
      </c>
      <c r="C30" s="95" t="s">
        <v>107</v>
      </c>
      <c r="D30" s="100">
        <v>3</v>
      </c>
      <c r="E30" s="100"/>
      <c r="F30" s="95" t="s">
        <v>73</v>
      </c>
      <c r="G30" s="95" t="s">
        <v>92</v>
      </c>
      <c r="H30" s="95" t="s">
        <v>118</v>
      </c>
      <c r="I30" s="95" t="s">
        <v>119</v>
      </c>
      <c r="J30" s="96">
        <v>45758</v>
      </c>
      <c r="K30" s="99">
        <v>0.52083333333333337</v>
      </c>
      <c r="L30" s="96">
        <v>45758</v>
      </c>
      <c r="M30" s="96" t="s">
        <v>70</v>
      </c>
      <c r="N30" s="95"/>
    </row>
    <row r="31" spans="1:14" ht="27.6" x14ac:dyDescent="0.3">
      <c r="A31" s="96">
        <v>45758</v>
      </c>
      <c r="B31" s="95" t="s">
        <v>15</v>
      </c>
      <c r="C31" s="95" t="s">
        <v>107</v>
      </c>
      <c r="D31" s="100">
        <v>2</v>
      </c>
      <c r="E31" s="100"/>
      <c r="F31" s="95" t="s">
        <v>73</v>
      </c>
      <c r="G31" s="95" t="s">
        <v>93</v>
      </c>
      <c r="H31" s="95" t="s">
        <v>79</v>
      </c>
      <c r="I31" s="95" t="s">
        <v>80</v>
      </c>
      <c r="J31" s="96">
        <v>45758</v>
      </c>
      <c r="K31" s="99">
        <v>0.75</v>
      </c>
      <c r="L31" s="96">
        <v>45758</v>
      </c>
      <c r="M31" s="96" t="s">
        <v>70</v>
      </c>
      <c r="N31" s="95"/>
    </row>
    <row r="32" spans="1:14" ht="27.6" x14ac:dyDescent="0.3">
      <c r="A32" s="96">
        <v>45758</v>
      </c>
      <c r="B32" s="95" t="s">
        <v>15</v>
      </c>
      <c r="C32" s="95" t="s">
        <v>107</v>
      </c>
      <c r="D32" s="100">
        <v>3</v>
      </c>
      <c r="E32" s="100"/>
      <c r="F32" s="95" t="s">
        <v>73</v>
      </c>
      <c r="G32" s="95" t="s">
        <v>95</v>
      </c>
      <c r="H32" s="95" t="s">
        <v>56</v>
      </c>
      <c r="I32" s="95" t="s">
        <v>83</v>
      </c>
      <c r="J32" s="96">
        <v>45758</v>
      </c>
      <c r="K32" s="99">
        <v>0.51388888888888884</v>
      </c>
      <c r="L32" s="96">
        <v>45758</v>
      </c>
      <c r="M32" s="96" t="s">
        <v>70</v>
      </c>
      <c r="N32" s="95"/>
    </row>
    <row r="33" spans="1:14" ht="27.6" x14ac:dyDescent="0.3">
      <c r="A33" s="96">
        <v>45761</v>
      </c>
      <c r="B33" s="95" t="s">
        <v>15</v>
      </c>
      <c r="C33" s="95" t="s">
        <v>107</v>
      </c>
      <c r="D33" s="100">
        <v>2</v>
      </c>
      <c r="E33" s="100"/>
      <c r="F33" s="95" t="s">
        <v>73</v>
      </c>
      <c r="G33" s="95" t="s">
        <v>90</v>
      </c>
      <c r="H33" s="95" t="s">
        <v>55</v>
      </c>
      <c r="I33" s="95" t="s">
        <v>63</v>
      </c>
      <c r="J33" s="96">
        <v>45761</v>
      </c>
      <c r="K33" s="99">
        <v>0.54861111111111116</v>
      </c>
      <c r="L33" s="96">
        <v>45761</v>
      </c>
      <c r="M33" s="96" t="s">
        <v>70</v>
      </c>
      <c r="N33" s="95"/>
    </row>
    <row r="34" spans="1:14" ht="27.6" x14ac:dyDescent="0.3">
      <c r="A34" s="96">
        <v>45761</v>
      </c>
      <c r="B34" s="95" t="s">
        <v>15</v>
      </c>
      <c r="C34" s="95" t="s">
        <v>108</v>
      </c>
      <c r="D34" s="100">
        <v>2</v>
      </c>
      <c r="E34" s="100"/>
      <c r="F34" s="95" t="s">
        <v>74</v>
      </c>
      <c r="G34" s="95" t="s">
        <v>91</v>
      </c>
      <c r="H34" s="95" t="s">
        <v>75</v>
      </c>
      <c r="I34" s="95" t="s">
        <v>76</v>
      </c>
      <c r="J34" s="96">
        <v>45761</v>
      </c>
      <c r="K34" s="99">
        <v>0.35416666666666669</v>
      </c>
      <c r="L34" s="96">
        <v>45761</v>
      </c>
      <c r="M34" s="96" t="s">
        <v>70</v>
      </c>
      <c r="N34" s="95"/>
    </row>
    <row r="35" spans="1:14" ht="27.6" x14ac:dyDescent="0.3">
      <c r="A35" s="96">
        <v>45762</v>
      </c>
      <c r="B35" s="95" t="s">
        <v>15</v>
      </c>
      <c r="C35" s="95" t="s">
        <v>108</v>
      </c>
      <c r="D35" s="100">
        <v>2</v>
      </c>
      <c r="E35" s="100">
        <v>1</v>
      </c>
      <c r="F35" s="95" t="s">
        <v>74</v>
      </c>
      <c r="G35" s="95" t="s">
        <v>91</v>
      </c>
      <c r="H35" s="95" t="s">
        <v>78</v>
      </c>
      <c r="I35" s="95" t="s">
        <v>77</v>
      </c>
      <c r="J35" s="96">
        <v>45762</v>
      </c>
      <c r="K35" s="99">
        <v>0.35416666666666669</v>
      </c>
      <c r="L35" s="96">
        <v>45762</v>
      </c>
      <c r="M35" s="96" t="s">
        <v>70</v>
      </c>
      <c r="N35" s="95"/>
    </row>
    <row r="36" spans="1:14" ht="27.6" x14ac:dyDescent="0.3">
      <c r="A36" s="96">
        <v>45762</v>
      </c>
      <c r="B36" s="95" t="s">
        <v>15</v>
      </c>
      <c r="C36" s="95" t="s">
        <v>108</v>
      </c>
      <c r="D36" s="100">
        <v>2</v>
      </c>
      <c r="E36" s="100">
        <v>2</v>
      </c>
      <c r="F36" s="95" t="s">
        <v>74</v>
      </c>
      <c r="G36" s="95" t="s">
        <v>91</v>
      </c>
      <c r="H36" s="95" t="s">
        <v>78</v>
      </c>
      <c r="I36" s="95" t="s">
        <v>77</v>
      </c>
      <c r="J36" s="96">
        <v>45762</v>
      </c>
      <c r="K36" s="99">
        <v>0.51041666666666663</v>
      </c>
      <c r="L36" s="96">
        <v>45762</v>
      </c>
      <c r="M36" s="96" t="s">
        <v>70</v>
      </c>
      <c r="N36" s="95"/>
    </row>
    <row r="37" spans="1:14" ht="27.6" x14ac:dyDescent="0.3">
      <c r="A37" s="96">
        <v>45762</v>
      </c>
      <c r="B37" s="95" t="s">
        <v>15</v>
      </c>
      <c r="C37" s="95" t="s">
        <v>107</v>
      </c>
      <c r="D37" s="100">
        <v>3</v>
      </c>
      <c r="E37" s="100"/>
      <c r="F37" s="95" t="s">
        <v>73</v>
      </c>
      <c r="G37" s="95" t="s">
        <v>94</v>
      </c>
      <c r="H37" s="95" t="s">
        <v>81</v>
      </c>
      <c r="I37" s="95" t="s">
        <v>82</v>
      </c>
      <c r="J37" s="96">
        <v>45762</v>
      </c>
      <c r="K37" s="99">
        <v>0.54861111111111116</v>
      </c>
      <c r="L37" s="96">
        <v>45762</v>
      </c>
      <c r="M37" s="96" t="s">
        <v>70</v>
      </c>
      <c r="N37" s="95"/>
    </row>
    <row r="38" spans="1:14" ht="27.6" x14ac:dyDescent="0.3">
      <c r="A38" s="96">
        <v>45763</v>
      </c>
      <c r="B38" s="95" t="s">
        <v>15</v>
      </c>
      <c r="C38" s="95" t="s">
        <v>108</v>
      </c>
      <c r="D38" s="100">
        <v>2</v>
      </c>
      <c r="E38" s="100">
        <v>1</v>
      </c>
      <c r="F38" s="95" t="s">
        <v>74</v>
      </c>
      <c r="G38" s="95" t="s">
        <v>91</v>
      </c>
      <c r="H38" s="95" t="s">
        <v>61</v>
      </c>
      <c r="I38" s="95" t="s">
        <v>58</v>
      </c>
      <c r="J38" s="96">
        <v>45763</v>
      </c>
      <c r="K38" s="99">
        <v>0.35416666666666669</v>
      </c>
      <c r="L38" s="96">
        <v>45763</v>
      </c>
      <c r="M38" s="96" t="s">
        <v>70</v>
      </c>
      <c r="N38" s="95"/>
    </row>
    <row r="39" spans="1:14" ht="27.6" x14ac:dyDescent="0.3">
      <c r="A39" s="96">
        <v>45763</v>
      </c>
      <c r="B39" s="95" t="s">
        <v>15</v>
      </c>
      <c r="C39" s="95" t="s">
        <v>108</v>
      </c>
      <c r="D39" s="100">
        <v>2</v>
      </c>
      <c r="E39" s="100">
        <v>2</v>
      </c>
      <c r="F39" s="95" t="s">
        <v>74</v>
      </c>
      <c r="G39" s="95" t="s">
        <v>91</v>
      </c>
      <c r="H39" s="95" t="s">
        <v>61</v>
      </c>
      <c r="I39" s="95" t="s">
        <v>58</v>
      </c>
      <c r="J39" s="96">
        <v>45763</v>
      </c>
      <c r="K39" s="99">
        <v>0.51041666666666663</v>
      </c>
      <c r="L39" s="96">
        <v>45763</v>
      </c>
      <c r="M39" s="96" t="s">
        <v>70</v>
      </c>
      <c r="N39" s="95"/>
    </row>
    <row r="40" spans="1:14" ht="27.6" x14ac:dyDescent="0.3">
      <c r="A40" s="96">
        <v>45763</v>
      </c>
      <c r="B40" s="95" t="s">
        <v>15</v>
      </c>
      <c r="C40" s="95" t="s">
        <v>107</v>
      </c>
      <c r="D40" s="100">
        <v>3</v>
      </c>
      <c r="E40" s="100"/>
      <c r="F40" s="95" t="s">
        <v>73</v>
      </c>
      <c r="G40" s="95" t="s">
        <v>93</v>
      </c>
      <c r="H40" s="95" t="s">
        <v>79</v>
      </c>
      <c r="I40" s="95" t="s">
        <v>80</v>
      </c>
      <c r="J40" s="96">
        <v>45763</v>
      </c>
      <c r="K40" s="99">
        <v>0.54166666666666663</v>
      </c>
      <c r="L40" s="96">
        <v>45763</v>
      </c>
      <c r="M40" s="96" t="s">
        <v>70</v>
      </c>
      <c r="N40" s="95"/>
    </row>
    <row r="41" spans="1:14" ht="27.6" x14ac:dyDescent="0.3">
      <c r="A41" s="96">
        <v>45764</v>
      </c>
      <c r="B41" s="95" t="s">
        <v>15</v>
      </c>
      <c r="C41" s="95" t="s">
        <v>108</v>
      </c>
      <c r="D41" s="100">
        <v>3</v>
      </c>
      <c r="E41" s="100"/>
      <c r="F41" s="95" t="s">
        <v>74</v>
      </c>
      <c r="G41" s="95" t="s">
        <v>91</v>
      </c>
      <c r="H41" s="95" t="s">
        <v>62</v>
      </c>
      <c r="I41" s="95" t="s">
        <v>59</v>
      </c>
      <c r="J41" s="96">
        <v>45764</v>
      </c>
      <c r="K41" s="99">
        <v>0.35416666666666669</v>
      </c>
      <c r="L41" s="96">
        <v>45764</v>
      </c>
      <c r="M41" s="96" t="s">
        <v>70</v>
      </c>
      <c r="N41" s="95"/>
    </row>
    <row r="42" spans="1:14" ht="27.6" x14ac:dyDescent="0.3">
      <c r="A42" s="96">
        <v>45765</v>
      </c>
      <c r="B42" s="95" t="s">
        <v>15</v>
      </c>
      <c r="C42" s="95" t="s">
        <v>108</v>
      </c>
      <c r="D42" s="100">
        <v>3</v>
      </c>
      <c r="E42" s="100"/>
      <c r="F42" s="95" t="s">
        <v>74</v>
      </c>
      <c r="G42" s="95" t="s">
        <v>91</v>
      </c>
      <c r="H42" s="95" t="s">
        <v>75</v>
      </c>
      <c r="I42" s="95" t="s">
        <v>76</v>
      </c>
      <c r="J42" s="96">
        <v>45765</v>
      </c>
      <c r="K42" s="99">
        <v>0.35416666666666669</v>
      </c>
      <c r="L42" s="96">
        <v>45765</v>
      </c>
      <c r="M42" s="96" t="s">
        <v>70</v>
      </c>
      <c r="N42" s="95"/>
    </row>
    <row r="43" spans="1:14" ht="27.6" x14ac:dyDescent="0.3">
      <c r="A43" s="96">
        <v>45769</v>
      </c>
      <c r="B43" s="95" t="s">
        <v>15</v>
      </c>
      <c r="C43" s="95" t="s">
        <v>108</v>
      </c>
      <c r="D43" s="100">
        <v>3</v>
      </c>
      <c r="E43" s="100">
        <v>1</v>
      </c>
      <c r="F43" s="95" t="s">
        <v>74</v>
      </c>
      <c r="G43" s="95" t="s">
        <v>91</v>
      </c>
      <c r="H43" s="95" t="s">
        <v>78</v>
      </c>
      <c r="I43" s="95" t="s">
        <v>77</v>
      </c>
      <c r="J43" s="96">
        <v>45769</v>
      </c>
      <c r="K43" s="99">
        <v>0.35416666666666669</v>
      </c>
      <c r="L43" s="96">
        <v>45769</v>
      </c>
      <c r="M43" s="96" t="s">
        <v>70</v>
      </c>
      <c r="N43" s="95"/>
    </row>
    <row r="44" spans="1:14" ht="27.6" x14ac:dyDescent="0.3">
      <c r="A44" s="96">
        <v>45769</v>
      </c>
      <c r="B44" s="95" t="s">
        <v>15</v>
      </c>
      <c r="C44" s="95" t="s">
        <v>107</v>
      </c>
      <c r="D44" s="100">
        <v>3</v>
      </c>
      <c r="E44" s="100">
        <v>2</v>
      </c>
      <c r="F44" s="95" t="s">
        <v>74</v>
      </c>
      <c r="G44" s="95" t="s">
        <v>91</v>
      </c>
      <c r="H44" s="95" t="s">
        <v>78</v>
      </c>
      <c r="I44" s="95" t="s">
        <v>77</v>
      </c>
      <c r="J44" s="96">
        <v>45769</v>
      </c>
      <c r="K44" s="99">
        <v>0.51041666666666663</v>
      </c>
      <c r="L44" s="96">
        <v>45769</v>
      </c>
      <c r="M44" s="96" t="s">
        <v>70</v>
      </c>
      <c r="N44" s="95"/>
    </row>
    <row r="45" spans="1:14" ht="27.6" x14ac:dyDescent="0.3">
      <c r="A45" s="96">
        <v>45769</v>
      </c>
      <c r="B45" s="95" t="s">
        <v>15</v>
      </c>
      <c r="C45" s="95" t="s">
        <v>107</v>
      </c>
      <c r="D45" s="100">
        <v>4</v>
      </c>
      <c r="E45" s="100"/>
      <c r="F45" s="95" t="s">
        <v>73</v>
      </c>
      <c r="G45" s="95" t="s">
        <v>94</v>
      </c>
      <c r="H45" s="95" t="s">
        <v>81</v>
      </c>
      <c r="I45" s="95" t="s">
        <v>82</v>
      </c>
      <c r="J45" s="96">
        <v>45769</v>
      </c>
      <c r="K45" s="99">
        <v>0.54166666666666663</v>
      </c>
      <c r="L45" s="96">
        <v>45769</v>
      </c>
      <c r="M45" s="96" t="s">
        <v>70</v>
      </c>
      <c r="N45" s="95"/>
    </row>
    <row r="46" spans="1:14" ht="27.6" x14ac:dyDescent="0.3">
      <c r="A46" s="96">
        <v>45770</v>
      </c>
      <c r="B46" s="95" t="s">
        <v>15</v>
      </c>
      <c r="C46" s="95" t="s">
        <v>107</v>
      </c>
      <c r="D46" s="100">
        <v>3</v>
      </c>
      <c r="E46" s="100"/>
      <c r="F46" s="95" t="s">
        <v>73</v>
      </c>
      <c r="G46" s="95" t="s">
        <v>90</v>
      </c>
      <c r="H46" s="95" t="s">
        <v>55</v>
      </c>
      <c r="I46" s="95" t="s">
        <v>63</v>
      </c>
      <c r="J46" s="96">
        <v>45770</v>
      </c>
      <c r="K46" s="99">
        <v>0.58333333333333337</v>
      </c>
      <c r="L46" s="96">
        <v>45770</v>
      </c>
      <c r="M46" s="96" t="s">
        <v>70</v>
      </c>
      <c r="N46" s="95"/>
    </row>
    <row r="47" spans="1:14" ht="27.6" x14ac:dyDescent="0.3">
      <c r="A47" s="96">
        <v>45770</v>
      </c>
      <c r="B47" s="95" t="s">
        <v>15</v>
      </c>
      <c r="C47" s="95" t="s">
        <v>108</v>
      </c>
      <c r="D47" s="100">
        <v>3</v>
      </c>
      <c r="E47" s="100">
        <v>1</v>
      </c>
      <c r="F47" s="95" t="s">
        <v>74</v>
      </c>
      <c r="G47" s="95" t="s">
        <v>91</v>
      </c>
      <c r="H47" s="95" t="s">
        <v>61</v>
      </c>
      <c r="I47" s="95" t="s">
        <v>58</v>
      </c>
      <c r="J47" s="96">
        <v>45770</v>
      </c>
      <c r="K47" s="99">
        <v>0.35416666666666669</v>
      </c>
      <c r="L47" s="96">
        <v>45770</v>
      </c>
      <c r="M47" s="96" t="s">
        <v>70</v>
      </c>
      <c r="N47" s="95"/>
    </row>
    <row r="48" spans="1:14" ht="27.6" x14ac:dyDescent="0.3">
      <c r="A48" s="96">
        <v>45770</v>
      </c>
      <c r="B48" s="95" t="s">
        <v>15</v>
      </c>
      <c r="C48" s="95" t="s">
        <v>108</v>
      </c>
      <c r="D48" s="100">
        <v>3</v>
      </c>
      <c r="E48" s="100">
        <v>2</v>
      </c>
      <c r="F48" s="95" t="s">
        <v>74</v>
      </c>
      <c r="G48" s="95" t="s">
        <v>91</v>
      </c>
      <c r="H48" s="95" t="s">
        <v>61</v>
      </c>
      <c r="I48" s="95" t="s">
        <v>58</v>
      </c>
      <c r="J48" s="96">
        <v>45770</v>
      </c>
      <c r="K48" s="99">
        <v>0.51041666666666663</v>
      </c>
      <c r="L48" s="96">
        <v>45770</v>
      </c>
      <c r="M48" s="96" t="s">
        <v>70</v>
      </c>
      <c r="N48" s="95"/>
    </row>
    <row r="49" spans="1:14" ht="27.6" x14ac:dyDescent="0.3">
      <c r="A49" s="96">
        <v>45770</v>
      </c>
      <c r="B49" s="95" t="s">
        <v>15</v>
      </c>
      <c r="C49" s="95" t="s">
        <v>107</v>
      </c>
      <c r="D49" s="100">
        <v>4</v>
      </c>
      <c r="E49" s="100"/>
      <c r="F49" s="95" t="s">
        <v>73</v>
      </c>
      <c r="G49" s="95" t="s">
        <v>93</v>
      </c>
      <c r="H49" s="95" t="s">
        <v>79</v>
      </c>
      <c r="I49" s="95" t="s">
        <v>80</v>
      </c>
      <c r="J49" s="96">
        <v>45770</v>
      </c>
      <c r="K49" s="99">
        <v>0.75</v>
      </c>
      <c r="L49" s="96">
        <v>45770</v>
      </c>
      <c r="M49" s="96" t="s">
        <v>70</v>
      </c>
      <c r="N49" s="95"/>
    </row>
    <row r="50" spans="1:14" ht="27.6" x14ac:dyDescent="0.3">
      <c r="A50" s="96">
        <v>45771</v>
      </c>
      <c r="B50" s="95" t="s">
        <v>15</v>
      </c>
      <c r="C50" s="95" t="s">
        <v>108</v>
      </c>
      <c r="D50" s="100">
        <v>4</v>
      </c>
      <c r="E50" s="100"/>
      <c r="F50" s="95" t="s">
        <v>74</v>
      </c>
      <c r="G50" s="95" t="s">
        <v>91</v>
      </c>
      <c r="H50" s="95" t="s">
        <v>62</v>
      </c>
      <c r="I50" s="95" t="s">
        <v>59</v>
      </c>
      <c r="J50" s="96">
        <v>45771</v>
      </c>
      <c r="K50" s="99">
        <v>0.35416666666666669</v>
      </c>
      <c r="L50" s="96">
        <v>45771</v>
      </c>
      <c r="M50" s="96" t="s">
        <v>70</v>
      </c>
      <c r="N50" s="95"/>
    </row>
    <row r="51" spans="1:14" ht="27.6" x14ac:dyDescent="0.3">
      <c r="A51" s="96">
        <v>45771</v>
      </c>
      <c r="B51" s="95" t="s">
        <v>15</v>
      </c>
      <c r="C51" s="95" t="s">
        <v>107</v>
      </c>
      <c r="D51" s="100">
        <v>4</v>
      </c>
      <c r="E51" s="100"/>
      <c r="F51" s="95" t="s">
        <v>73</v>
      </c>
      <c r="G51" s="95" t="s">
        <v>95</v>
      </c>
      <c r="H51" s="95" t="s">
        <v>56</v>
      </c>
      <c r="I51" s="95" t="s">
        <v>83</v>
      </c>
      <c r="J51" s="96">
        <v>45771</v>
      </c>
      <c r="K51" s="99">
        <v>0.51388888888888884</v>
      </c>
      <c r="L51" s="96">
        <v>45771</v>
      </c>
      <c r="M51" s="96" t="s">
        <v>70</v>
      </c>
      <c r="N51" s="95"/>
    </row>
    <row r="52" spans="1:14" ht="27.6" x14ac:dyDescent="0.3">
      <c r="A52" s="96">
        <v>45771</v>
      </c>
      <c r="B52" s="95" t="s">
        <v>15</v>
      </c>
      <c r="C52" s="95" t="s">
        <v>107</v>
      </c>
      <c r="D52" s="100">
        <v>3</v>
      </c>
      <c r="E52" s="100"/>
      <c r="F52" s="95" t="s">
        <v>73</v>
      </c>
      <c r="G52" s="95" t="s">
        <v>103</v>
      </c>
      <c r="H52" s="95" t="s">
        <v>57</v>
      </c>
      <c r="I52" s="95" t="s">
        <v>85</v>
      </c>
      <c r="J52" s="96">
        <v>45771</v>
      </c>
      <c r="K52" s="99">
        <v>0.45833333333333331</v>
      </c>
      <c r="L52" s="96">
        <v>45771</v>
      </c>
      <c r="M52" s="96" t="s">
        <v>70</v>
      </c>
      <c r="N52" s="95"/>
    </row>
    <row r="53" spans="1:14" ht="27.6" x14ac:dyDescent="0.3">
      <c r="A53" s="101">
        <v>45771</v>
      </c>
      <c r="B53" s="106" t="s">
        <v>15</v>
      </c>
      <c r="C53" s="106" t="s">
        <v>107</v>
      </c>
      <c r="D53" s="107">
        <v>4</v>
      </c>
      <c r="E53" s="107"/>
      <c r="F53" s="106" t="s">
        <v>73</v>
      </c>
      <c r="G53" s="106" t="s">
        <v>104</v>
      </c>
      <c r="H53" s="106" t="s">
        <v>86</v>
      </c>
      <c r="I53" s="106" t="s">
        <v>87</v>
      </c>
      <c r="J53" s="108">
        <v>45771</v>
      </c>
      <c r="K53" s="109">
        <v>0.58333333333333337</v>
      </c>
      <c r="L53" s="108">
        <v>45771</v>
      </c>
      <c r="M53" s="108" t="s">
        <v>70</v>
      </c>
      <c r="N53" s="106"/>
    </row>
    <row r="54" spans="1:14" ht="55.2" x14ac:dyDescent="0.3">
      <c r="A54" s="97">
        <v>45772</v>
      </c>
      <c r="B54" s="136" t="s">
        <v>9</v>
      </c>
      <c r="C54" s="136" t="s">
        <v>100</v>
      </c>
      <c r="D54" s="137">
        <v>1</v>
      </c>
      <c r="E54" s="137"/>
      <c r="F54" s="136" t="s">
        <v>73</v>
      </c>
      <c r="G54" s="136" t="s">
        <v>111</v>
      </c>
      <c r="H54" s="136" t="s">
        <v>99</v>
      </c>
      <c r="I54" s="136" t="s">
        <v>101</v>
      </c>
      <c r="J54" s="138">
        <v>45772</v>
      </c>
      <c r="K54" s="139"/>
      <c r="L54" s="138">
        <v>45773</v>
      </c>
      <c r="M54" s="139"/>
      <c r="N54" s="136" t="s">
        <v>120</v>
      </c>
    </row>
    <row r="55" spans="1:14" ht="27.6" x14ac:dyDescent="0.3">
      <c r="A55" s="96">
        <v>45775</v>
      </c>
      <c r="B55" s="95" t="s">
        <v>15</v>
      </c>
      <c r="C55" s="95" t="s">
        <v>107</v>
      </c>
      <c r="D55" s="100">
        <v>4</v>
      </c>
      <c r="E55" s="100"/>
      <c r="F55" s="95" t="s">
        <v>73</v>
      </c>
      <c r="G55" s="95" t="s">
        <v>90</v>
      </c>
      <c r="H55" s="95" t="s">
        <v>55</v>
      </c>
      <c r="I55" s="95" t="s">
        <v>63</v>
      </c>
      <c r="J55" s="96">
        <v>45775</v>
      </c>
      <c r="K55" s="99">
        <v>0.54861111111111116</v>
      </c>
      <c r="L55" s="96">
        <v>45775</v>
      </c>
      <c r="M55" s="96" t="s">
        <v>70</v>
      </c>
      <c r="N55" s="95"/>
    </row>
    <row r="56" spans="1:14" ht="27.6" x14ac:dyDescent="0.3">
      <c r="A56" s="96">
        <v>45775</v>
      </c>
      <c r="B56" s="95" t="s">
        <v>15</v>
      </c>
      <c r="C56" s="95" t="s">
        <v>108</v>
      </c>
      <c r="D56" s="100">
        <v>4</v>
      </c>
      <c r="E56" s="100"/>
      <c r="F56" s="95" t="s">
        <v>74</v>
      </c>
      <c r="G56" s="95" t="s">
        <v>91</v>
      </c>
      <c r="H56" s="95" t="s">
        <v>75</v>
      </c>
      <c r="I56" s="95" t="s">
        <v>76</v>
      </c>
      <c r="J56" s="96">
        <v>45775</v>
      </c>
      <c r="K56" s="99">
        <v>0.35416666666666669</v>
      </c>
      <c r="L56" s="96">
        <v>45775</v>
      </c>
      <c r="M56" s="96" t="s">
        <v>70</v>
      </c>
      <c r="N56" s="95"/>
    </row>
    <row r="57" spans="1:14" ht="27.6" x14ac:dyDescent="0.3">
      <c r="A57" s="96">
        <v>45775</v>
      </c>
      <c r="B57" s="95" t="s">
        <v>15</v>
      </c>
      <c r="C57" s="95" t="s">
        <v>107</v>
      </c>
      <c r="D57" s="100">
        <v>5</v>
      </c>
      <c r="E57" s="100"/>
      <c r="F57" s="95" t="s">
        <v>73</v>
      </c>
      <c r="G57" s="95" t="s">
        <v>93</v>
      </c>
      <c r="H57" s="95" t="s">
        <v>79</v>
      </c>
      <c r="I57" s="95" t="s">
        <v>80</v>
      </c>
      <c r="J57" s="96">
        <v>45775</v>
      </c>
      <c r="K57" s="99">
        <v>0.75</v>
      </c>
      <c r="L57" s="96">
        <v>45775</v>
      </c>
      <c r="M57" s="96" t="s">
        <v>70</v>
      </c>
      <c r="N57" s="95"/>
    </row>
    <row r="58" spans="1:14" ht="27.6" x14ac:dyDescent="0.3">
      <c r="A58" s="96">
        <v>45776</v>
      </c>
      <c r="B58" s="95" t="s">
        <v>15</v>
      </c>
      <c r="C58" s="95" t="s">
        <v>108</v>
      </c>
      <c r="D58" s="100">
        <v>4</v>
      </c>
      <c r="E58" s="100">
        <v>1</v>
      </c>
      <c r="F58" s="95" t="s">
        <v>74</v>
      </c>
      <c r="G58" s="95" t="s">
        <v>91</v>
      </c>
      <c r="H58" s="95" t="s">
        <v>78</v>
      </c>
      <c r="I58" s="95" t="s">
        <v>77</v>
      </c>
      <c r="J58" s="96">
        <v>45776</v>
      </c>
      <c r="K58" s="99">
        <v>0.35416666666666669</v>
      </c>
      <c r="L58" s="96">
        <v>45776</v>
      </c>
      <c r="M58" s="96" t="s">
        <v>70</v>
      </c>
      <c r="N58" s="95"/>
    </row>
    <row r="59" spans="1:14" ht="27.6" x14ac:dyDescent="0.3">
      <c r="A59" s="96">
        <v>45776</v>
      </c>
      <c r="B59" s="95" t="s">
        <v>15</v>
      </c>
      <c r="C59" s="95" t="s">
        <v>108</v>
      </c>
      <c r="D59" s="100">
        <v>4</v>
      </c>
      <c r="E59" s="100">
        <v>2</v>
      </c>
      <c r="F59" s="95" t="s">
        <v>74</v>
      </c>
      <c r="G59" s="95" t="s">
        <v>91</v>
      </c>
      <c r="H59" s="95" t="s">
        <v>78</v>
      </c>
      <c r="I59" s="95" t="s">
        <v>77</v>
      </c>
      <c r="J59" s="96">
        <v>45776</v>
      </c>
      <c r="K59" s="99">
        <v>0.51041666666666663</v>
      </c>
      <c r="L59" s="96">
        <v>45776</v>
      </c>
      <c r="M59" s="96" t="s">
        <v>70</v>
      </c>
      <c r="N59" s="95"/>
    </row>
    <row r="60" spans="1:14" ht="27.6" x14ac:dyDescent="0.3">
      <c r="A60" s="96">
        <v>45776</v>
      </c>
      <c r="B60" s="95" t="s">
        <v>15</v>
      </c>
      <c r="C60" s="95" t="s">
        <v>107</v>
      </c>
      <c r="D60" s="100">
        <v>5</v>
      </c>
      <c r="E60" s="100"/>
      <c r="F60" s="95" t="s">
        <v>73</v>
      </c>
      <c r="G60" s="95" t="s">
        <v>94</v>
      </c>
      <c r="H60" s="95" t="s">
        <v>81</v>
      </c>
      <c r="I60" s="95" t="s">
        <v>82</v>
      </c>
      <c r="J60" s="96">
        <v>45776</v>
      </c>
      <c r="K60" s="99">
        <v>0.54861111111111116</v>
      </c>
      <c r="L60" s="96">
        <v>45776</v>
      </c>
      <c r="M60" s="96" t="s">
        <v>70</v>
      </c>
      <c r="N60" s="95"/>
    </row>
    <row r="61" spans="1:14" ht="27.6" x14ac:dyDescent="0.3">
      <c r="A61" s="96">
        <v>45777</v>
      </c>
      <c r="B61" s="95" t="s">
        <v>15</v>
      </c>
      <c r="C61" s="95" t="s">
        <v>108</v>
      </c>
      <c r="D61" s="100">
        <v>4</v>
      </c>
      <c r="E61" s="100">
        <v>1</v>
      </c>
      <c r="F61" s="95" t="s">
        <v>74</v>
      </c>
      <c r="G61" s="95" t="s">
        <v>91</v>
      </c>
      <c r="H61" s="95" t="s">
        <v>61</v>
      </c>
      <c r="I61" s="95" t="s">
        <v>58</v>
      </c>
      <c r="J61" s="96">
        <v>45777</v>
      </c>
      <c r="K61" s="99">
        <v>0.35416666666666669</v>
      </c>
      <c r="L61" s="96">
        <v>45777</v>
      </c>
      <c r="M61" s="96" t="s">
        <v>70</v>
      </c>
      <c r="N61" s="95"/>
    </row>
    <row r="62" spans="1:14" ht="27.6" x14ac:dyDescent="0.3">
      <c r="A62" s="96">
        <v>45777</v>
      </c>
      <c r="B62" s="95" t="s">
        <v>15</v>
      </c>
      <c r="C62" s="95" t="s">
        <v>108</v>
      </c>
      <c r="D62" s="100">
        <v>4</v>
      </c>
      <c r="E62" s="100">
        <v>2</v>
      </c>
      <c r="F62" s="95" t="s">
        <v>74</v>
      </c>
      <c r="G62" s="95" t="s">
        <v>91</v>
      </c>
      <c r="H62" s="95" t="s">
        <v>61</v>
      </c>
      <c r="I62" s="95" t="s">
        <v>58</v>
      </c>
      <c r="J62" s="96">
        <v>45777</v>
      </c>
      <c r="K62" s="99">
        <v>0.51041666666666663</v>
      </c>
      <c r="L62" s="96">
        <v>45777</v>
      </c>
      <c r="M62" s="96" t="s">
        <v>70</v>
      </c>
      <c r="N62" s="95"/>
    </row>
    <row r="63" spans="1:14" ht="115.2" x14ac:dyDescent="0.3">
      <c r="B63" s="125" t="s">
        <v>7</v>
      </c>
      <c r="C63" s="125"/>
      <c r="D63" s="126"/>
      <c r="E63" s="127"/>
      <c r="F63" s="125"/>
      <c r="G63" s="125"/>
      <c r="H63" s="125"/>
      <c r="I63" s="125"/>
      <c r="J63" s="143"/>
      <c r="K63" s="125"/>
      <c r="L63" s="125"/>
      <c r="M63" s="125"/>
      <c r="N63" s="125" t="s">
        <v>152</v>
      </c>
    </row>
    <row r="64" spans="1:14" ht="72" x14ac:dyDescent="0.3">
      <c r="B64" s="128" t="s">
        <v>9</v>
      </c>
      <c r="C64" s="128"/>
      <c r="D64" s="129"/>
      <c r="E64" s="130"/>
      <c r="F64" s="128"/>
      <c r="G64" s="128"/>
      <c r="H64" s="128"/>
      <c r="I64" s="128"/>
      <c r="J64" s="144"/>
      <c r="K64" s="128"/>
      <c r="L64" s="128"/>
      <c r="M64" s="128"/>
      <c r="N64" s="128" t="s">
        <v>153</v>
      </c>
    </row>
    <row r="65" spans="2:14" ht="115.2" x14ac:dyDescent="0.3">
      <c r="B65" s="125" t="s">
        <v>11</v>
      </c>
      <c r="C65" s="125"/>
      <c r="D65" s="126"/>
      <c r="E65" s="127"/>
      <c r="F65" s="125"/>
      <c r="G65" s="125"/>
      <c r="H65" s="125"/>
      <c r="I65" s="125"/>
      <c r="J65" s="143"/>
      <c r="K65" s="125"/>
      <c r="L65" s="125"/>
      <c r="M65" s="125"/>
      <c r="N65" s="125" t="s">
        <v>154</v>
      </c>
    </row>
    <row r="66" spans="2:14" ht="100.8" x14ac:dyDescent="0.3">
      <c r="B66" s="128" t="s">
        <v>13</v>
      </c>
      <c r="C66" s="128"/>
      <c r="D66" s="129"/>
      <c r="E66" s="130"/>
      <c r="F66" s="128"/>
      <c r="G66" s="128"/>
      <c r="H66" s="128"/>
      <c r="I66" s="128"/>
      <c r="J66" s="144"/>
      <c r="K66" s="128"/>
      <c r="L66" s="128"/>
      <c r="M66" s="128"/>
      <c r="N66" s="128" t="s">
        <v>155</v>
      </c>
    </row>
    <row r="67" spans="2:14" ht="27.6" x14ac:dyDescent="0.3">
      <c r="B67" s="95" t="s">
        <v>15</v>
      </c>
      <c r="C67" s="95" t="s">
        <v>108</v>
      </c>
      <c r="D67" s="100">
        <v>5</v>
      </c>
      <c r="E67" s="100"/>
      <c r="F67" s="95" t="s">
        <v>74</v>
      </c>
      <c r="G67" s="95" t="s">
        <v>91</v>
      </c>
      <c r="H67" s="95" t="s">
        <v>62</v>
      </c>
      <c r="I67" s="95" t="s">
        <v>59</v>
      </c>
      <c r="J67" s="96">
        <v>45779</v>
      </c>
      <c r="K67" s="99">
        <v>0.35416666666666669</v>
      </c>
      <c r="L67" s="96">
        <v>45785</v>
      </c>
      <c r="M67" s="96" t="s">
        <v>70</v>
      </c>
      <c r="N67" s="95"/>
    </row>
    <row r="68" spans="2:14" ht="27.6" x14ac:dyDescent="0.3">
      <c r="B68" s="95" t="s">
        <v>15</v>
      </c>
      <c r="C68" s="95" t="s">
        <v>107</v>
      </c>
      <c r="D68" s="100">
        <v>5</v>
      </c>
      <c r="E68" s="100"/>
      <c r="F68" s="95" t="s">
        <v>73</v>
      </c>
      <c r="G68" s="95" t="s">
        <v>95</v>
      </c>
      <c r="H68" s="95" t="s">
        <v>56</v>
      </c>
      <c r="I68" s="95" t="s">
        <v>83</v>
      </c>
      <c r="J68" s="96">
        <v>45779</v>
      </c>
      <c r="K68" s="99">
        <v>0.51388888888888884</v>
      </c>
      <c r="L68" s="96">
        <v>45779</v>
      </c>
      <c r="M68" s="96" t="s">
        <v>70</v>
      </c>
      <c r="N68" s="95"/>
    </row>
    <row r="69" spans="2:14" ht="27.6" x14ac:dyDescent="0.3">
      <c r="B69" s="95" t="s">
        <v>15</v>
      </c>
      <c r="C69" s="95" t="s">
        <v>107</v>
      </c>
      <c r="D69" s="100">
        <v>3</v>
      </c>
      <c r="E69" s="100"/>
      <c r="F69" s="95" t="s">
        <v>73</v>
      </c>
      <c r="G69" s="95" t="s">
        <v>92</v>
      </c>
      <c r="H69" s="95" t="s">
        <v>118</v>
      </c>
      <c r="I69" s="95" t="s">
        <v>119</v>
      </c>
      <c r="J69" s="96">
        <v>45779</v>
      </c>
      <c r="K69" s="99">
        <v>0.52083333333333337</v>
      </c>
      <c r="L69" s="96">
        <v>45779</v>
      </c>
      <c r="M69" s="96" t="s">
        <v>70</v>
      </c>
      <c r="N69" s="95"/>
    </row>
    <row r="70" spans="2:14" ht="27.6" x14ac:dyDescent="0.3">
      <c r="B70" s="95" t="s">
        <v>15</v>
      </c>
      <c r="C70" s="95" t="s">
        <v>107</v>
      </c>
      <c r="D70" s="100">
        <v>5</v>
      </c>
      <c r="E70" s="100"/>
      <c r="F70" s="95" t="s">
        <v>73</v>
      </c>
      <c r="G70" s="95" t="s">
        <v>90</v>
      </c>
      <c r="H70" s="95" t="s">
        <v>55</v>
      </c>
      <c r="I70" s="95" t="s">
        <v>63</v>
      </c>
      <c r="J70" s="108">
        <v>45782</v>
      </c>
      <c r="K70" s="99">
        <v>0.54861111111111116</v>
      </c>
      <c r="L70" s="108">
        <v>45782</v>
      </c>
      <c r="M70" s="96" t="s">
        <v>70</v>
      </c>
      <c r="N70" s="95"/>
    </row>
    <row r="71" spans="2:14" ht="27.6" x14ac:dyDescent="0.3">
      <c r="B71" s="95" t="s">
        <v>15</v>
      </c>
      <c r="C71" s="95" t="s">
        <v>108</v>
      </c>
      <c r="D71" s="100">
        <v>5</v>
      </c>
      <c r="E71" s="100"/>
      <c r="F71" s="95" t="s">
        <v>74</v>
      </c>
      <c r="G71" s="95" t="s">
        <v>91</v>
      </c>
      <c r="H71" s="95" t="s">
        <v>75</v>
      </c>
      <c r="I71" s="95" t="s">
        <v>76</v>
      </c>
      <c r="J71" s="96">
        <v>45782</v>
      </c>
      <c r="K71" s="99">
        <v>0.35416666666666669</v>
      </c>
      <c r="L71" s="96">
        <v>45782</v>
      </c>
      <c r="M71" s="96" t="s">
        <v>70</v>
      </c>
      <c r="N71" s="95"/>
    </row>
    <row r="72" spans="2:14" ht="27.6" x14ac:dyDescent="0.3">
      <c r="B72" s="95" t="s">
        <v>15</v>
      </c>
      <c r="C72" s="95" t="s">
        <v>108</v>
      </c>
      <c r="D72" s="100">
        <v>5</v>
      </c>
      <c r="E72" s="100">
        <v>1</v>
      </c>
      <c r="F72" s="95" t="s">
        <v>74</v>
      </c>
      <c r="G72" s="95" t="s">
        <v>91</v>
      </c>
      <c r="H72" s="95" t="s">
        <v>78</v>
      </c>
      <c r="I72" s="95" t="s">
        <v>77</v>
      </c>
      <c r="J72" s="96">
        <v>45783</v>
      </c>
      <c r="K72" s="99">
        <v>0.375</v>
      </c>
      <c r="L72" s="96">
        <v>45783</v>
      </c>
      <c r="M72" s="96" t="s">
        <v>70</v>
      </c>
      <c r="N72" s="95"/>
    </row>
    <row r="73" spans="2:14" ht="27.6" x14ac:dyDescent="0.3">
      <c r="B73" s="95" t="s">
        <v>15</v>
      </c>
      <c r="C73" s="95" t="s">
        <v>107</v>
      </c>
      <c r="D73" s="100">
        <v>6</v>
      </c>
      <c r="E73" s="100"/>
      <c r="F73" s="95" t="s">
        <v>73</v>
      </c>
      <c r="G73" s="95" t="s">
        <v>95</v>
      </c>
      <c r="H73" s="95" t="s">
        <v>56</v>
      </c>
      <c r="I73" s="95" t="s">
        <v>83</v>
      </c>
      <c r="J73" s="96">
        <v>45783</v>
      </c>
      <c r="K73" s="99">
        <v>0.51388888888888884</v>
      </c>
      <c r="L73" s="96">
        <v>45783</v>
      </c>
      <c r="M73" s="96" t="s">
        <v>70</v>
      </c>
      <c r="N73" s="95"/>
    </row>
    <row r="74" spans="2:14" ht="27.6" x14ac:dyDescent="0.3">
      <c r="B74" s="95" t="s">
        <v>15</v>
      </c>
      <c r="C74" s="95" t="s">
        <v>107</v>
      </c>
      <c r="D74" s="100">
        <v>4</v>
      </c>
      <c r="E74" s="100"/>
      <c r="F74" s="95" t="s">
        <v>73</v>
      </c>
      <c r="G74" s="95" t="s">
        <v>92</v>
      </c>
      <c r="H74" s="95" t="s">
        <v>118</v>
      </c>
      <c r="I74" s="95" t="s">
        <v>119</v>
      </c>
      <c r="J74" s="96">
        <v>45783</v>
      </c>
      <c r="K74" s="99">
        <v>0.52083333333333337</v>
      </c>
      <c r="L74" s="96">
        <v>45783</v>
      </c>
      <c r="M74" s="96" t="s">
        <v>70</v>
      </c>
      <c r="N74" s="95"/>
    </row>
    <row r="75" spans="2:14" ht="27.6" x14ac:dyDescent="0.3">
      <c r="B75" s="95" t="s">
        <v>15</v>
      </c>
      <c r="C75" s="95" t="s">
        <v>107</v>
      </c>
      <c r="D75" s="100">
        <v>6</v>
      </c>
      <c r="E75" s="100"/>
      <c r="F75" s="95" t="s">
        <v>73</v>
      </c>
      <c r="G75" s="95" t="s">
        <v>94</v>
      </c>
      <c r="H75" s="95" t="s">
        <v>81</v>
      </c>
      <c r="I75" s="95" t="s">
        <v>82</v>
      </c>
      <c r="J75" s="96">
        <v>45783</v>
      </c>
      <c r="K75" s="99">
        <v>0.47916666666666669</v>
      </c>
      <c r="L75" s="96">
        <v>45783</v>
      </c>
      <c r="M75" s="96" t="s">
        <v>70</v>
      </c>
      <c r="N75" s="95"/>
    </row>
    <row r="76" spans="2:14" ht="27.6" x14ac:dyDescent="0.3">
      <c r="B76" s="106" t="s">
        <v>15</v>
      </c>
      <c r="C76" s="106" t="s">
        <v>107</v>
      </c>
      <c r="D76" s="107">
        <v>5</v>
      </c>
      <c r="E76" s="107"/>
      <c r="F76" s="106" t="s">
        <v>73</v>
      </c>
      <c r="G76" s="106" t="s">
        <v>104</v>
      </c>
      <c r="H76" s="106" t="s">
        <v>86</v>
      </c>
      <c r="I76" s="106" t="s">
        <v>87</v>
      </c>
      <c r="J76" s="96">
        <v>45784</v>
      </c>
      <c r="K76" s="109">
        <v>0.40625</v>
      </c>
      <c r="L76" s="96">
        <v>45784</v>
      </c>
      <c r="M76" s="108" t="s">
        <v>70</v>
      </c>
      <c r="N76" s="95"/>
    </row>
    <row r="77" spans="2:14" ht="27.6" x14ac:dyDescent="0.3">
      <c r="B77" s="95" t="s">
        <v>15</v>
      </c>
      <c r="C77" s="95" t="s">
        <v>108</v>
      </c>
      <c r="D77" s="100">
        <v>5</v>
      </c>
      <c r="E77" s="100">
        <v>1</v>
      </c>
      <c r="F77" s="95" t="s">
        <v>74</v>
      </c>
      <c r="G77" s="95" t="s">
        <v>91</v>
      </c>
      <c r="H77" s="95" t="s">
        <v>61</v>
      </c>
      <c r="I77" s="95" t="s">
        <v>58</v>
      </c>
      <c r="J77" s="96">
        <v>45784</v>
      </c>
      <c r="K77" s="99">
        <v>0.375</v>
      </c>
      <c r="L77" s="96">
        <v>45784</v>
      </c>
      <c r="M77" s="96" t="s">
        <v>70</v>
      </c>
      <c r="N77" s="95"/>
    </row>
    <row r="78" spans="2:14" ht="27.6" x14ac:dyDescent="0.3">
      <c r="B78" s="95" t="s">
        <v>15</v>
      </c>
      <c r="C78" s="95" t="s">
        <v>107</v>
      </c>
      <c r="D78" s="100">
        <v>7</v>
      </c>
      <c r="E78" s="100"/>
      <c r="F78" s="95" t="s">
        <v>73</v>
      </c>
      <c r="G78" s="95" t="s">
        <v>94</v>
      </c>
      <c r="H78" s="95" t="s">
        <v>81</v>
      </c>
      <c r="I78" s="95" t="s">
        <v>82</v>
      </c>
      <c r="J78" s="96">
        <v>45784</v>
      </c>
      <c r="K78" s="99">
        <v>0.47916666666666669</v>
      </c>
      <c r="L78" s="96">
        <v>45784</v>
      </c>
      <c r="M78" s="96" t="s">
        <v>70</v>
      </c>
      <c r="N78" s="95"/>
    </row>
    <row r="79" spans="2:14" ht="27.6" x14ac:dyDescent="0.3">
      <c r="B79" s="95" t="s">
        <v>15</v>
      </c>
      <c r="C79" s="95" t="s">
        <v>108</v>
      </c>
      <c r="D79" s="100">
        <v>5</v>
      </c>
      <c r="E79" s="100">
        <v>2</v>
      </c>
      <c r="F79" s="95" t="s">
        <v>74</v>
      </c>
      <c r="G79" s="95" t="s">
        <v>91</v>
      </c>
      <c r="H79" s="95" t="s">
        <v>61</v>
      </c>
      <c r="I79" s="95" t="s">
        <v>58</v>
      </c>
      <c r="J79" s="96">
        <v>45784</v>
      </c>
      <c r="K79" s="99">
        <v>0.51041666666666663</v>
      </c>
      <c r="L79" s="96">
        <v>45784</v>
      </c>
      <c r="M79" s="96" t="s">
        <v>70</v>
      </c>
      <c r="N79" s="95"/>
    </row>
    <row r="80" spans="2:14" ht="27.6" x14ac:dyDescent="0.3">
      <c r="B80" s="106" t="s">
        <v>15</v>
      </c>
      <c r="C80" s="106" t="s">
        <v>107</v>
      </c>
      <c r="D80" s="107">
        <v>6</v>
      </c>
      <c r="E80" s="107"/>
      <c r="F80" s="106" t="s">
        <v>73</v>
      </c>
      <c r="G80" s="106" t="s">
        <v>93</v>
      </c>
      <c r="H80" s="106" t="s">
        <v>79</v>
      </c>
      <c r="I80" s="106" t="s">
        <v>80</v>
      </c>
      <c r="J80" s="108">
        <v>45784</v>
      </c>
      <c r="K80" s="109">
        <v>0.54166666666666663</v>
      </c>
      <c r="L80" s="108">
        <v>45784</v>
      </c>
      <c r="M80" s="108" t="s">
        <v>70</v>
      </c>
      <c r="N80" s="106"/>
    </row>
    <row r="81" spans="2:14" ht="27.6" x14ac:dyDescent="0.3">
      <c r="B81" s="95" t="s">
        <v>15</v>
      </c>
      <c r="C81" s="95" t="s">
        <v>107</v>
      </c>
      <c r="D81" s="100">
        <v>4</v>
      </c>
      <c r="E81" s="100"/>
      <c r="F81" s="95" t="s">
        <v>73</v>
      </c>
      <c r="G81" s="95" t="s">
        <v>103</v>
      </c>
      <c r="H81" s="95" t="s">
        <v>57</v>
      </c>
      <c r="I81" s="95" t="s">
        <v>85</v>
      </c>
      <c r="J81" s="108">
        <v>45784</v>
      </c>
      <c r="K81" s="99">
        <v>0.45833333333333331</v>
      </c>
      <c r="L81" s="108">
        <v>45784</v>
      </c>
      <c r="M81" s="96" t="s">
        <v>70</v>
      </c>
      <c r="N81" s="106"/>
    </row>
    <row r="82" spans="2:14" ht="27.6" x14ac:dyDescent="0.3">
      <c r="B82" s="95" t="s">
        <v>15</v>
      </c>
      <c r="C82" s="95" t="s">
        <v>107</v>
      </c>
      <c r="D82" s="107">
        <v>6</v>
      </c>
      <c r="E82" s="107"/>
      <c r="F82" s="95" t="s">
        <v>73</v>
      </c>
      <c r="G82" s="95" t="s">
        <v>90</v>
      </c>
      <c r="H82" s="95" t="s">
        <v>55</v>
      </c>
      <c r="I82" s="95" t="s">
        <v>63</v>
      </c>
      <c r="J82" s="108">
        <v>45785</v>
      </c>
      <c r="K82" s="109">
        <v>0.54861111111111116</v>
      </c>
      <c r="L82" s="108">
        <v>45785</v>
      </c>
      <c r="M82" s="96" t="s">
        <v>70</v>
      </c>
      <c r="N82" s="106"/>
    </row>
    <row r="83" spans="2:14" ht="27.6" x14ac:dyDescent="0.3">
      <c r="B83" s="106" t="s">
        <v>15</v>
      </c>
      <c r="C83" s="106" t="s">
        <v>107</v>
      </c>
      <c r="D83" s="107">
        <v>6</v>
      </c>
      <c r="E83" s="107"/>
      <c r="F83" s="106" t="s">
        <v>73</v>
      </c>
      <c r="G83" s="106" t="s">
        <v>104</v>
      </c>
      <c r="H83" s="106" t="s">
        <v>86</v>
      </c>
      <c r="I83" s="106" t="s">
        <v>87</v>
      </c>
      <c r="J83" s="96">
        <v>45785</v>
      </c>
      <c r="K83" s="109">
        <v>0.60416666666666663</v>
      </c>
      <c r="L83" s="96">
        <v>45785</v>
      </c>
      <c r="M83" s="108" t="s">
        <v>70</v>
      </c>
      <c r="N83" s="95"/>
    </row>
    <row r="84" spans="2:14" ht="27.6" x14ac:dyDescent="0.3">
      <c r="B84" s="95" t="s">
        <v>15</v>
      </c>
      <c r="C84" s="95" t="s">
        <v>108</v>
      </c>
      <c r="D84" s="100">
        <v>6</v>
      </c>
      <c r="E84" s="100"/>
      <c r="F84" s="95" t="s">
        <v>74</v>
      </c>
      <c r="G84" s="95" t="s">
        <v>91</v>
      </c>
      <c r="H84" s="95" t="s">
        <v>62</v>
      </c>
      <c r="I84" s="95" t="s">
        <v>59</v>
      </c>
      <c r="J84" s="96">
        <v>45785</v>
      </c>
      <c r="K84" s="99">
        <v>0.35416666666666669</v>
      </c>
      <c r="L84" s="96">
        <v>45785</v>
      </c>
      <c r="M84" s="96" t="s">
        <v>70</v>
      </c>
      <c r="N84" s="95"/>
    </row>
    <row r="85" spans="2:14" ht="27.6" x14ac:dyDescent="0.3">
      <c r="B85" s="95" t="s">
        <v>15</v>
      </c>
      <c r="C85" s="95" t="s">
        <v>107</v>
      </c>
      <c r="D85" s="100">
        <v>5</v>
      </c>
      <c r="E85" s="100"/>
      <c r="F85" s="95" t="s">
        <v>73</v>
      </c>
      <c r="G85" s="95" t="s">
        <v>103</v>
      </c>
      <c r="H85" s="95" t="s">
        <v>57</v>
      </c>
      <c r="I85" s="95" t="s">
        <v>85</v>
      </c>
      <c r="J85" s="96">
        <v>45785</v>
      </c>
      <c r="K85" s="99">
        <v>0.45833333333333331</v>
      </c>
      <c r="L85" s="96">
        <v>45785</v>
      </c>
      <c r="M85" s="96" t="s">
        <v>70</v>
      </c>
      <c r="N85" s="106"/>
    </row>
    <row r="86" spans="2:14" ht="27.6" x14ac:dyDescent="0.3">
      <c r="B86" s="95" t="s">
        <v>15</v>
      </c>
      <c r="C86" s="95" t="s">
        <v>107</v>
      </c>
      <c r="D86" s="100">
        <v>7</v>
      </c>
      <c r="E86" s="100"/>
      <c r="F86" s="95" t="s">
        <v>73</v>
      </c>
      <c r="G86" s="95" t="s">
        <v>95</v>
      </c>
      <c r="H86" s="95" t="s">
        <v>56</v>
      </c>
      <c r="I86" s="95" t="s">
        <v>83</v>
      </c>
      <c r="J86" s="96">
        <v>45786</v>
      </c>
      <c r="K86" s="99">
        <v>0.51388888888888884</v>
      </c>
      <c r="L86" s="96">
        <v>45786</v>
      </c>
      <c r="M86" s="96" t="s">
        <v>70</v>
      </c>
      <c r="N86" s="95"/>
    </row>
    <row r="87" spans="2:14" ht="27.6" x14ac:dyDescent="0.3">
      <c r="B87" s="95" t="s">
        <v>15</v>
      </c>
      <c r="C87" s="95" t="s">
        <v>107</v>
      </c>
      <c r="D87" s="100">
        <v>5</v>
      </c>
      <c r="E87" s="100"/>
      <c r="F87" s="95" t="s">
        <v>73</v>
      </c>
      <c r="G87" s="95" t="s">
        <v>92</v>
      </c>
      <c r="H87" s="95" t="s">
        <v>118</v>
      </c>
      <c r="I87" s="95" t="s">
        <v>119</v>
      </c>
      <c r="J87" s="96">
        <v>45786</v>
      </c>
      <c r="K87" s="99">
        <v>0.52083333333333337</v>
      </c>
      <c r="L87" s="96">
        <v>45786</v>
      </c>
      <c r="M87" s="96" t="s">
        <v>70</v>
      </c>
      <c r="N87" s="95"/>
    </row>
    <row r="88" spans="2:14" ht="27.6" x14ac:dyDescent="0.3">
      <c r="B88" s="95" t="s">
        <v>15</v>
      </c>
      <c r="C88" s="95" t="s">
        <v>108</v>
      </c>
      <c r="D88" s="100">
        <v>5</v>
      </c>
      <c r="E88" s="100">
        <v>2</v>
      </c>
      <c r="F88" s="95" t="s">
        <v>74</v>
      </c>
      <c r="G88" s="95" t="s">
        <v>91</v>
      </c>
      <c r="H88" s="95" t="s">
        <v>78</v>
      </c>
      <c r="I88" s="95" t="s">
        <v>77</v>
      </c>
      <c r="J88" s="96">
        <v>45786</v>
      </c>
      <c r="K88" s="99">
        <v>0.51041666666666663</v>
      </c>
      <c r="L88" s="96">
        <v>45783</v>
      </c>
      <c r="M88" s="96" t="s">
        <v>70</v>
      </c>
      <c r="N88" s="95"/>
    </row>
    <row r="89" spans="2:14" ht="27.6" x14ac:dyDescent="0.3">
      <c r="B89" s="95" t="s">
        <v>15</v>
      </c>
      <c r="C89" s="95" t="s">
        <v>107</v>
      </c>
      <c r="D89" s="107">
        <v>7</v>
      </c>
      <c r="E89" s="107"/>
      <c r="F89" s="95" t="s">
        <v>73</v>
      </c>
      <c r="G89" s="95" t="s">
        <v>90</v>
      </c>
      <c r="H89" s="95" t="s">
        <v>55</v>
      </c>
      <c r="I89" s="95" t="s">
        <v>63</v>
      </c>
      <c r="J89" s="108">
        <v>45789</v>
      </c>
      <c r="K89" s="109">
        <v>0.54861111111111116</v>
      </c>
      <c r="L89" s="108">
        <v>45789</v>
      </c>
      <c r="M89" s="96" t="s">
        <v>70</v>
      </c>
      <c r="N89" s="106"/>
    </row>
    <row r="90" spans="2:14" ht="27.6" x14ac:dyDescent="0.3">
      <c r="B90" s="95" t="s">
        <v>15</v>
      </c>
      <c r="C90" s="95" t="s">
        <v>108</v>
      </c>
      <c r="D90" s="100">
        <v>6</v>
      </c>
      <c r="E90" s="100"/>
      <c r="F90" s="95" t="s">
        <v>74</v>
      </c>
      <c r="G90" s="95" t="s">
        <v>91</v>
      </c>
      <c r="H90" s="95" t="s">
        <v>75</v>
      </c>
      <c r="I90" s="95" t="s">
        <v>76</v>
      </c>
      <c r="J90" s="96">
        <v>45789</v>
      </c>
      <c r="K90" s="99">
        <v>0.35416666666666669</v>
      </c>
      <c r="L90" s="96">
        <v>45789</v>
      </c>
      <c r="M90" s="96" t="s">
        <v>70</v>
      </c>
      <c r="N90" s="95"/>
    </row>
    <row r="91" spans="2:14" ht="27.6" x14ac:dyDescent="0.3">
      <c r="B91" s="95" t="s">
        <v>15</v>
      </c>
      <c r="C91" s="95" t="s">
        <v>107</v>
      </c>
      <c r="D91" s="100">
        <v>8</v>
      </c>
      <c r="E91" s="100"/>
      <c r="F91" s="95" t="s">
        <v>73</v>
      </c>
      <c r="G91" s="95" t="s">
        <v>95</v>
      </c>
      <c r="H91" s="95" t="s">
        <v>56</v>
      </c>
      <c r="I91" s="95" t="s">
        <v>83</v>
      </c>
      <c r="J91" s="96">
        <v>45789</v>
      </c>
      <c r="K91" s="99">
        <v>0.51388888888888884</v>
      </c>
      <c r="L91" s="96">
        <v>45789</v>
      </c>
      <c r="M91" s="96" t="s">
        <v>70</v>
      </c>
      <c r="N91" s="95"/>
    </row>
    <row r="92" spans="2:14" ht="27.6" x14ac:dyDescent="0.3">
      <c r="B92" s="95" t="s">
        <v>15</v>
      </c>
      <c r="C92" s="95" t="s">
        <v>108</v>
      </c>
      <c r="D92" s="100">
        <v>6</v>
      </c>
      <c r="E92" s="100">
        <v>1</v>
      </c>
      <c r="F92" s="95" t="s">
        <v>74</v>
      </c>
      <c r="G92" s="95" t="s">
        <v>91</v>
      </c>
      <c r="H92" s="95" t="s">
        <v>78</v>
      </c>
      <c r="I92" s="95" t="s">
        <v>77</v>
      </c>
      <c r="J92" s="96">
        <v>45790</v>
      </c>
      <c r="K92" s="99">
        <v>0.375</v>
      </c>
      <c r="L92" s="96">
        <v>45790</v>
      </c>
      <c r="M92" s="96" t="s">
        <v>70</v>
      </c>
      <c r="N92" s="95"/>
    </row>
    <row r="93" spans="2:14" ht="124.2" x14ac:dyDescent="0.3">
      <c r="B93" s="225" t="s">
        <v>15</v>
      </c>
      <c r="C93" s="225" t="s">
        <v>108</v>
      </c>
      <c r="D93" s="226">
        <v>6</v>
      </c>
      <c r="E93" s="226">
        <v>2</v>
      </c>
      <c r="F93" s="225" t="s">
        <v>74</v>
      </c>
      <c r="G93" s="225" t="s">
        <v>91</v>
      </c>
      <c r="H93" s="225" t="s">
        <v>78</v>
      </c>
      <c r="I93" s="225" t="s">
        <v>77</v>
      </c>
      <c r="J93" s="227"/>
      <c r="K93" s="229">
        <v>0.51041666666666663</v>
      </c>
      <c r="L93" s="227">
        <v>45790</v>
      </c>
      <c r="M93" s="227" t="s">
        <v>70</v>
      </c>
      <c r="N93" s="224" t="s">
        <v>248</v>
      </c>
    </row>
    <row r="94" spans="2:14" ht="27.6" x14ac:dyDescent="0.3">
      <c r="B94" s="95" t="s">
        <v>15</v>
      </c>
      <c r="C94" s="95" t="s">
        <v>107</v>
      </c>
      <c r="D94" s="100">
        <v>6</v>
      </c>
      <c r="E94" s="100"/>
      <c r="F94" s="95" t="s">
        <v>73</v>
      </c>
      <c r="G94" s="95" t="s">
        <v>92</v>
      </c>
      <c r="H94" s="95" t="s">
        <v>118</v>
      </c>
      <c r="I94" s="95" t="s">
        <v>119</v>
      </c>
      <c r="J94" s="96">
        <v>45790</v>
      </c>
      <c r="K94" s="99">
        <v>0.52083333333333337</v>
      </c>
      <c r="L94" s="96">
        <v>45790</v>
      </c>
      <c r="M94" s="96" t="s">
        <v>70</v>
      </c>
      <c r="N94" s="95"/>
    </row>
    <row r="95" spans="2:14" ht="27.6" x14ac:dyDescent="0.3">
      <c r="B95" s="95" t="s">
        <v>15</v>
      </c>
      <c r="C95" s="95" t="s">
        <v>107</v>
      </c>
      <c r="D95" s="100">
        <v>8</v>
      </c>
      <c r="E95" s="100"/>
      <c r="F95" s="95" t="s">
        <v>73</v>
      </c>
      <c r="G95" s="95" t="s">
        <v>94</v>
      </c>
      <c r="H95" s="95" t="s">
        <v>81</v>
      </c>
      <c r="I95" s="95" t="s">
        <v>82</v>
      </c>
      <c r="J95" s="96">
        <v>45790</v>
      </c>
      <c r="K95" s="99">
        <v>0.51041666666666663</v>
      </c>
      <c r="L95" s="96">
        <v>45790</v>
      </c>
      <c r="M95" s="96" t="s">
        <v>70</v>
      </c>
      <c r="N95" s="95"/>
    </row>
    <row r="96" spans="2:14" ht="27.6" x14ac:dyDescent="0.3">
      <c r="B96" s="106" t="s">
        <v>15</v>
      </c>
      <c r="C96" s="106" t="s">
        <v>107</v>
      </c>
      <c r="D96" s="107">
        <v>7</v>
      </c>
      <c r="E96" s="107"/>
      <c r="F96" s="106" t="s">
        <v>73</v>
      </c>
      <c r="G96" s="106" t="s">
        <v>104</v>
      </c>
      <c r="H96" s="106" t="s">
        <v>86</v>
      </c>
      <c r="I96" s="106" t="s">
        <v>87</v>
      </c>
      <c r="J96" s="96">
        <v>45791</v>
      </c>
      <c r="K96" s="109">
        <v>0.40625</v>
      </c>
      <c r="L96" s="96">
        <v>45791</v>
      </c>
      <c r="M96" s="108" t="s">
        <v>70</v>
      </c>
      <c r="N96" s="95"/>
    </row>
    <row r="97" spans="2:14" ht="27.6" x14ac:dyDescent="0.3">
      <c r="B97" s="95" t="s">
        <v>15</v>
      </c>
      <c r="C97" s="95" t="s">
        <v>108</v>
      </c>
      <c r="D97" s="100">
        <v>6</v>
      </c>
      <c r="E97" s="100">
        <v>1</v>
      </c>
      <c r="F97" s="95" t="s">
        <v>74</v>
      </c>
      <c r="G97" s="95" t="s">
        <v>91</v>
      </c>
      <c r="H97" s="95" t="s">
        <v>61</v>
      </c>
      <c r="I97" s="95" t="s">
        <v>58</v>
      </c>
      <c r="J97" s="96">
        <v>45791</v>
      </c>
      <c r="K97" s="99">
        <v>0.375</v>
      </c>
      <c r="L97" s="96">
        <v>45791</v>
      </c>
      <c r="M97" s="96" t="s">
        <v>70</v>
      </c>
      <c r="N97" s="95"/>
    </row>
    <row r="98" spans="2:14" ht="27.6" x14ac:dyDescent="0.3">
      <c r="B98" s="95" t="s">
        <v>15</v>
      </c>
      <c r="C98" s="95" t="s">
        <v>108</v>
      </c>
      <c r="D98" s="100">
        <v>6</v>
      </c>
      <c r="E98" s="100">
        <v>2</v>
      </c>
      <c r="F98" s="95" t="s">
        <v>74</v>
      </c>
      <c r="G98" s="95" t="s">
        <v>91</v>
      </c>
      <c r="H98" s="95" t="s">
        <v>61</v>
      </c>
      <c r="I98" s="95" t="s">
        <v>58</v>
      </c>
      <c r="J98" s="96">
        <v>45791</v>
      </c>
      <c r="K98" s="99">
        <v>0.51041666666666663</v>
      </c>
      <c r="L98" s="96">
        <v>45791</v>
      </c>
      <c r="M98" s="96" t="s">
        <v>70</v>
      </c>
      <c r="N98" s="95"/>
    </row>
    <row r="99" spans="2:14" ht="27.6" x14ac:dyDescent="0.3">
      <c r="B99" s="95" t="s">
        <v>15</v>
      </c>
      <c r="C99" s="95" t="s">
        <v>107</v>
      </c>
      <c r="D99" s="100">
        <v>9</v>
      </c>
      <c r="E99" s="100"/>
      <c r="F99" s="95" t="s">
        <v>73</v>
      </c>
      <c r="G99" s="95" t="s">
        <v>94</v>
      </c>
      <c r="H99" s="95" t="s">
        <v>81</v>
      </c>
      <c r="I99" s="95" t="s">
        <v>82</v>
      </c>
      <c r="J99" s="108">
        <v>45791</v>
      </c>
      <c r="K99" s="99">
        <v>0.33333333333333331</v>
      </c>
      <c r="L99" s="108">
        <v>45791</v>
      </c>
      <c r="M99" s="96" t="s">
        <v>70</v>
      </c>
      <c r="N99" s="95"/>
    </row>
    <row r="100" spans="2:14" ht="27.6" x14ac:dyDescent="0.3">
      <c r="B100" s="95" t="s">
        <v>15</v>
      </c>
      <c r="C100" s="95" t="s">
        <v>107</v>
      </c>
      <c r="D100" s="100">
        <v>8</v>
      </c>
      <c r="E100" s="100"/>
      <c r="F100" s="95" t="s">
        <v>73</v>
      </c>
      <c r="G100" s="95" t="s">
        <v>90</v>
      </c>
      <c r="H100" s="95" t="s">
        <v>55</v>
      </c>
      <c r="I100" s="95" t="s">
        <v>63</v>
      </c>
      <c r="J100" s="108">
        <v>45792</v>
      </c>
      <c r="K100" s="99">
        <v>0.54861111111111116</v>
      </c>
      <c r="L100" s="108">
        <v>45792</v>
      </c>
      <c r="M100" s="96" t="s">
        <v>70</v>
      </c>
      <c r="N100" s="95"/>
    </row>
    <row r="101" spans="2:14" ht="27.6" x14ac:dyDescent="0.3">
      <c r="B101" s="106" t="s">
        <v>15</v>
      </c>
      <c r="C101" s="106" t="s">
        <v>107</v>
      </c>
      <c r="D101" s="107">
        <v>8</v>
      </c>
      <c r="E101" s="107"/>
      <c r="F101" s="106" t="s">
        <v>73</v>
      </c>
      <c r="G101" s="106" t="s">
        <v>104</v>
      </c>
      <c r="H101" s="106" t="s">
        <v>86</v>
      </c>
      <c r="I101" s="106" t="s">
        <v>87</v>
      </c>
      <c r="J101" s="96">
        <v>45792</v>
      </c>
      <c r="K101" s="109">
        <v>0.60416666666666663</v>
      </c>
      <c r="L101" s="96">
        <v>45792</v>
      </c>
      <c r="M101" s="108" t="s">
        <v>70</v>
      </c>
      <c r="N101" s="95"/>
    </row>
    <row r="102" spans="2:14" ht="27.6" x14ac:dyDescent="0.3">
      <c r="B102" s="95" t="s">
        <v>15</v>
      </c>
      <c r="C102" s="95" t="s">
        <v>108</v>
      </c>
      <c r="D102" s="211">
        <v>7</v>
      </c>
      <c r="E102" s="211"/>
      <c r="F102" s="95" t="s">
        <v>74</v>
      </c>
      <c r="G102" s="95" t="s">
        <v>91</v>
      </c>
      <c r="H102" s="95" t="s">
        <v>62</v>
      </c>
      <c r="I102" s="95" t="s">
        <v>59</v>
      </c>
      <c r="J102" s="213">
        <v>45792</v>
      </c>
      <c r="K102" s="214">
        <v>0.35416666666666669</v>
      </c>
      <c r="L102" s="213">
        <v>45792</v>
      </c>
      <c r="M102" s="96" t="s">
        <v>70</v>
      </c>
      <c r="N102" s="212"/>
    </row>
    <row r="103" spans="2:14" ht="27.6" x14ac:dyDescent="0.3">
      <c r="B103" s="95" t="s">
        <v>15</v>
      </c>
      <c r="C103" s="95" t="s">
        <v>107</v>
      </c>
      <c r="D103" s="100">
        <v>6</v>
      </c>
      <c r="E103" s="100"/>
      <c r="F103" s="95" t="s">
        <v>73</v>
      </c>
      <c r="G103" s="95" t="s">
        <v>103</v>
      </c>
      <c r="H103" s="95" t="s">
        <v>57</v>
      </c>
      <c r="I103" s="95" t="s">
        <v>85</v>
      </c>
      <c r="J103" s="96">
        <v>45792</v>
      </c>
      <c r="K103" s="99">
        <v>0.45833333333333331</v>
      </c>
      <c r="L103" s="96">
        <v>45792</v>
      </c>
      <c r="M103" s="96" t="s">
        <v>70</v>
      </c>
      <c r="N103" s="106"/>
    </row>
    <row r="104" spans="2:14" ht="27.6" x14ac:dyDescent="0.3">
      <c r="B104" s="95" t="s">
        <v>15</v>
      </c>
      <c r="C104" s="95" t="s">
        <v>108</v>
      </c>
      <c r="D104" s="211">
        <v>7</v>
      </c>
      <c r="E104" s="211">
        <v>1</v>
      </c>
      <c r="F104" s="95" t="s">
        <v>74</v>
      </c>
      <c r="G104" s="95" t="s">
        <v>91</v>
      </c>
      <c r="H104" s="95" t="s">
        <v>61</v>
      </c>
      <c r="I104" s="95" t="s">
        <v>58</v>
      </c>
      <c r="J104" s="213">
        <v>45793</v>
      </c>
      <c r="K104" s="214">
        <v>0.375</v>
      </c>
      <c r="L104" s="213">
        <v>45793</v>
      </c>
      <c r="M104" s="96" t="s">
        <v>70</v>
      </c>
      <c r="N104" s="212"/>
    </row>
    <row r="105" spans="2:14" ht="27.6" x14ac:dyDescent="0.3">
      <c r="B105" s="95" t="s">
        <v>15</v>
      </c>
      <c r="C105" s="95" t="s">
        <v>108</v>
      </c>
      <c r="D105" s="211">
        <v>7</v>
      </c>
      <c r="E105" s="211">
        <v>2</v>
      </c>
      <c r="F105" s="95" t="s">
        <v>74</v>
      </c>
      <c r="G105" s="95" t="s">
        <v>91</v>
      </c>
      <c r="H105" s="95" t="s">
        <v>61</v>
      </c>
      <c r="I105" s="95" t="s">
        <v>58</v>
      </c>
      <c r="J105" s="213">
        <v>45793</v>
      </c>
      <c r="K105" s="214">
        <v>0.51041666666666663</v>
      </c>
      <c r="L105" s="213">
        <v>45793</v>
      </c>
      <c r="M105" s="96" t="s">
        <v>70</v>
      </c>
      <c r="N105" s="212"/>
    </row>
    <row r="106" spans="2:14" ht="27.6" x14ac:dyDescent="0.3">
      <c r="B106" s="95" t="s">
        <v>15</v>
      </c>
      <c r="C106" s="95" t="s">
        <v>107</v>
      </c>
      <c r="D106" s="100">
        <v>9</v>
      </c>
      <c r="E106" s="100"/>
      <c r="F106" s="95" t="s">
        <v>73</v>
      </c>
      <c r="G106" s="95" t="s">
        <v>95</v>
      </c>
      <c r="H106" s="95" t="s">
        <v>56</v>
      </c>
      <c r="I106" s="95" t="s">
        <v>83</v>
      </c>
      <c r="J106" s="96">
        <v>45793</v>
      </c>
      <c r="K106" s="99">
        <v>0.51388888888888884</v>
      </c>
      <c r="L106" s="96">
        <v>45793</v>
      </c>
      <c r="M106" s="96" t="s">
        <v>70</v>
      </c>
      <c r="N106" s="95"/>
    </row>
    <row r="107" spans="2:14" ht="41.4" x14ac:dyDescent="0.3">
      <c r="B107" s="95" t="s">
        <v>15</v>
      </c>
      <c r="C107" s="106" t="s">
        <v>107</v>
      </c>
      <c r="D107" s="107">
        <v>7</v>
      </c>
      <c r="E107" s="107"/>
      <c r="F107" s="106" t="s">
        <v>73</v>
      </c>
      <c r="G107" s="106" t="s">
        <v>93</v>
      </c>
      <c r="H107" s="106" t="s">
        <v>79</v>
      </c>
      <c r="I107" s="106" t="s">
        <v>80</v>
      </c>
      <c r="J107" s="108">
        <v>45793</v>
      </c>
      <c r="K107" s="109">
        <v>0.35416666666666669</v>
      </c>
      <c r="L107" s="108">
        <v>45793</v>
      </c>
      <c r="M107" s="108" t="s">
        <v>70</v>
      </c>
      <c r="N107" s="224" t="s">
        <v>245</v>
      </c>
    </row>
    <row r="108" spans="2:14" ht="27.6" x14ac:dyDescent="0.3">
      <c r="B108" s="95" t="s">
        <v>15</v>
      </c>
      <c r="C108" s="95" t="s">
        <v>107</v>
      </c>
      <c r="D108" s="100">
        <v>7</v>
      </c>
      <c r="E108" s="100"/>
      <c r="F108" s="95" t="s">
        <v>73</v>
      </c>
      <c r="G108" s="95" t="s">
        <v>103</v>
      </c>
      <c r="H108" s="95" t="s">
        <v>57</v>
      </c>
      <c r="I108" s="95" t="s">
        <v>85</v>
      </c>
      <c r="J108" s="96">
        <v>45793</v>
      </c>
      <c r="K108" s="99">
        <v>0.45833333333333331</v>
      </c>
      <c r="L108" s="96">
        <v>45793</v>
      </c>
      <c r="M108" s="96" t="s">
        <v>70</v>
      </c>
      <c r="N108" s="106"/>
    </row>
    <row r="109" spans="2:14" ht="27.6" x14ac:dyDescent="0.3">
      <c r="B109" s="95" t="s">
        <v>15</v>
      </c>
      <c r="C109" s="95" t="s">
        <v>107</v>
      </c>
      <c r="D109" s="100">
        <v>7</v>
      </c>
      <c r="E109" s="100"/>
      <c r="F109" s="95" t="s">
        <v>73</v>
      </c>
      <c r="G109" s="95" t="s">
        <v>92</v>
      </c>
      <c r="H109" s="95" t="s">
        <v>118</v>
      </c>
      <c r="I109" s="95" t="s">
        <v>119</v>
      </c>
      <c r="J109" s="96">
        <v>45793</v>
      </c>
      <c r="K109" s="99">
        <v>0.52083333333333337</v>
      </c>
      <c r="L109" s="96">
        <v>45793</v>
      </c>
      <c r="M109" s="96" t="s">
        <v>70</v>
      </c>
      <c r="N109" s="95"/>
    </row>
    <row r="110" spans="2:14" ht="27.6" x14ac:dyDescent="0.3">
      <c r="B110" s="95" t="s">
        <v>15</v>
      </c>
      <c r="C110" s="95" t="s">
        <v>107</v>
      </c>
      <c r="D110" s="100">
        <v>9</v>
      </c>
      <c r="E110" s="100"/>
      <c r="F110" s="95" t="s">
        <v>73</v>
      </c>
      <c r="G110" s="95" t="s">
        <v>90</v>
      </c>
      <c r="H110" s="95" t="s">
        <v>55</v>
      </c>
      <c r="I110" s="95" t="s">
        <v>63</v>
      </c>
      <c r="J110" s="108">
        <v>45796</v>
      </c>
      <c r="K110" s="99">
        <v>0.54861111111111116</v>
      </c>
      <c r="L110" s="108">
        <v>45796</v>
      </c>
      <c r="M110" s="96" t="s">
        <v>70</v>
      </c>
      <c r="N110" s="95"/>
    </row>
    <row r="111" spans="2:14" ht="27.6" x14ac:dyDescent="0.3">
      <c r="B111" s="95" t="s">
        <v>15</v>
      </c>
      <c r="C111" s="95" t="s">
        <v>108</v>
      </c>
      <c r="D111" s="211">
        <v>7</v>
      </c>
      <c r="E111" s="211"/>
      <c r="F111" s="95" t="s">
        <v>74</v>
      </c>
      <c r="G111" s="95" t="s">
        <v>91</v>
      </c>
      <c r="H111" s="95" t="s">
        <v>75</v>
      </c>
      <c r="I111" s="95" t="s">
        <v>76</v>
      </c>
      <c r="J111" s="213">
        <v>45796</v>
      </c>
      <c r="K111" s="214">
        <v>0.35416666666666669</v>
      </c>
      <c r="L111" s="213">
        <v>45796</v>
      </c>
      <c r="M111" s="96" t="s">
        <v>70</v>
      </c>
      <c r="N111" s="212"/>
    </row>
    <row r="112" spans="2:14" ht="27.6" x14ac:dyDescent="0.3">
      <c r="B112" s="95" t="s">
        <v>15</v>
      </c>
      <c r="C112" s="95" t="s">
        <v>107</v>
      </c>
      <c r="D112" s="100">
        <v>10</v>
      </c>
      <c r="E112" s="100"/>
      <c r="F112" s="95" t="s">
        <v>73</v>
      </c>
      <c r="G112" s="95" t="s">
        <v>95</v>
      </c>
      <c r="H112" s="95" t="s">
        <v>56</v>
      </c>
      <c r="I112" s="95" t="s">
        <v>83</v>
      </c>
      <c r="J112" s="96">
        <v>45797</v>
      </c>
      <c r="K112" s="99">
        <v>0.51388888888888884</v>
      </c>
      <c r="L112" s="96">
        <v>45797</v>
      </c>
      <c r="M112" s="96" t="s">
        <v>70</v>
      </c>
      <c r="N112" s="95"/>
    </row>
    <row r="113" spans="2:14" ht="27.6" x14ac:dyDescent="0.3">
      <c r="B113" s="95" t="s">
        <v>15</v>
      </c>
      <c r="C113" s="95" t="s">
        <v>107</v>
      </c>
      <c r="D113" s="100">
        <v>8</v>
      </c>
      <c r="E113" s="100"/>
      <c r="F113" s="95" t="s">
        <v>73</v>
      </c>
      <c r="G113" s="95" t="s">
        <v>103</v>
      </c>
      <c r="H113" s="95" t="s">
        <v>57</v>
      </c>
      <c r="I113" s="95" t="s">
        <v>85</v>
      </c>
      <c r="J113" s="96">
        <v>45797</v>
      </c>
      <c r="K113" s="99">
        <v>0.45833333333333331</v>
      </c>
      <c r="L113" s="96">
        <v>45797</v>
      </c>
      <c r="M113" s="96" t="s">
        <v>70</v>
      </c>
      <c r="N113" s="106"/>
    </row>
    <row r="114" spans="2:14" ht="27.6" x14ac:dyDescent="0.3">
      <c r="B114" s="95" t="s">
        <v>15</v>
      </c>
      <c r="C114" s="95" t="s">
        <v>107</v>
      </c>
      <c r="D114" s="100">
        <v>8</v>
      </c>
      <c r="E114" s="100"/>
      <c r="F114" s="95" t="s">
        <v>73</v>
      </c>
      <c r="G114" s="95" t="s">
        <v>92</v>
      </c>
      <c r="H114" s="95" t="s">
        <v>118</v>
      </c>
      <c r="I114" s="95" t="s">
        <v>119</v>
      </c>
      <c r="J114" s="96">
        <v>45797</v>
      </c>
      <c r="K114" s="99">
        <v>0.52083333333333337</v>
      </c>
      <c r="L114" s="96">
        <v>45797</v>
      </c>
      <c r="M114" s="96" t="s">
        <v>70</v>
      </c>
      <c r="N114" s="95"/>
    </row>
    <row r="115" spans="2:14" ht="27.6" x14ac:dyDescent="0.3">
      <c r="B115" s="95" t="s">
        <v>15</v>
      </c>
      <c r="C115" s="95" t="s">
        <v>107</v>
      </c>
      <c r="D115" s="100">
        <v>10</v>
      </c>
      <c r="E115" s="100"/>
      <c r="F115" s="95" t="s">
        <v>73</v>
      </c>
      <c r="G115" s="95" t="s">
        <v>94</v>
      </c>
      <c r="H115" s="95" t="s">
        <v>81</v>
      </c>
      <c r="I115" s="95" t="s">
        <v>82</v>
      </c>
      <c r="J115" s="96">
        <v>45797</v>
      </c>
      <c r="K115" s="99">
        <v>0.47916666666666669</v>
      </c>
      <c r="L115" s="96">
        <v>45797</v>
      </c>
      <c r="M115" s="96" t="s">
        <v>70</v>
      </c>
      <c r="N115" s="95"/>
    </row>
    <row r="116" spans="2:14" ht="27.6" x14ac:dyDescent="0.3">
      <c r="B116" s="95" t="s">
        <v>15</v>
      </c>
      <c r="C116" s="95" t="s">
        <v>107</v>
      </c>
      <c r="D116" s="100">
        <v>11</v>
      </c>
      <c r="E116" s="100"/>
      <c r="F116" s="95" t="s">
        <v>73</v>
      </c>
      <c r="G116" s="95" t="s">
        <v>94</v>
      </c>
      <c r="H116" s="95" t="s">
        <v>81</v>
      </c>
      <c r="I116" s="95" t="s">
        <v>82</v>
      </c>
      <c r="J116" s="96">
        <v>45798</v>
      </c>
      <c r="K116" s="99">
        <v>0.33333333333333331</v>
      </c>
      <c r="L116" s="96">
        <v>45798</v>
      </c>
      <c r="M116" s="96" t="s">
        <v>70</v>
      </c>
      <c r="N116" s="95"/>
    </row>
    <row r="117" spans="2:14" ht="27.6" x14ac:dyDescent="0.3">
      <c r="B117" s="106" t="s">
        <v>15</v>
      </c>
      <c r="C117" s="106" t="s">
        <v>107</v>
      </c>
      <c r="D117" s="107">
        <v>9</v>
      </c>
      <c r="E117" s="107"/>
      <c r="F117" s="106" t="s">
        <v>73</v>
      </c>
      <c r="G117" s="106" t="s">
        <v>104</v>
      </c>
      <c r="H117" s="106" t="s">
        <v>86</v>
      </c>
      <c r="I117" s="106" t="s">
        <v>87</v>
      </c>
      <c r="J117" s="96">
        <v>45798</v>
      </c>
      <c r="K117" s="109">
        <v>0.40625</v>
      </c>
      <c r="L117" s="96">
        <v>45798</v>
      </c>
      <c r="M117" s="108" t="s">
        <v>70</v>
      </c>
      <c r="N117" s="95"/>
    </row>
    <row r="118" spans="2:14" ht="27.6" x14ac:dyDescent="0.3">
      <c r="B118" s="95" t="s">
        <v>15</v>
      </c>
      <c r="C118" s="95" t="s">
        <v>107</v>
      </c>
      <c r="D118" s="100">
        <v>10</v>
      </c>
      <c r="E118" s="100"/>
      <c r="F118" s="95" t="s">
        <v>73</v>
      </c>
      <c r="G118" s="95" t="s">
        <v>90</v>
      </c>
      <c r="H118" s="95" t="s">
        <v>55</v>
      </c>
      <c r="I118" s="95" t="s">
        <v>63</v>
      </c>
      <c r="J118" s="108">
        <v>45799</v>
      </c>
      <c r="K118" s="99">
        <v>0.54861111111111116</v>
      </c>
      <c r="L118" s="108">
        <v>45799</v>
      </c>
      <c r="M118" s="96" t="s">
        <v>70</v>
      </c>
      <c r="N118" s="95"/>
    </row>
    <row r="119" spans="2:14" ht="27.6" x14ac:dyDescent="0.3">
      <c r="B119" s="95" t="s">
        <v>15</v>
      </c>
      <c r="C119" s="95" t="s">
        <v>108</v>
      </c>
      <c r="D119" s="211">
        <v>8</v>
      </c>
      <c r="E119" s="211"/>
      <c r="F119" s="95" t="s">
        <v>74</v>
      </c>
      <c r="G119" s="95" t="s">
        <v>91</v>
      </c>
      <c r="H119" s="95" t="s">
        <v>62</v>
      </c>
      <c r="I119" s="95" t="s">
        <v>59</v>
      </c>
      <c r="J119" s="213">
        <v>45799</v>
      </c>
      <c r="K119" s="214">
        <v>0.35416666666666669</v>
      </c>
      <c r="L119" s="213">
        <v>45799</v>
      </c>
      <c r="M119" s="96" t="s">
        <v>70</v>
      </c>
      <c r="N119" s="212"/>
    </row>
    <row r="120" spans="2:14" ht="27.6" x14ac:dyDescent="0.3">
      <c r="B120" s="95" t="s">
        <v>15</v>
      </c>
      <c r="C120" s="95" t="s">
        <v>107</v>
      </c>
      <c r="D120" s="100">
        <v>9</v>
      </c>
      <c r="E120" s="100"/>
      <c r="F120" s="95" t="s">
        <v>73</v>
      </c>
      <c r="G120" s="95" t="s">
        <v>103</v>
      </c>
      <c r="H120" s="95" t="s">
        <v>57</v>
      </c>
      <c r="I120" s="95" t="s">
        <v>85</v>
      </c>
      <c r="J120" s="96">
        <v>45799</v>
      </c>
      <c r="K120" s="99">
        <v>0.45833333333333331</v>
      </c>
      <c r="L120" s="96">
        <v>45799</v>
      </c>
      <c r="M120" s="96" t="s">
        <v>70</v>
      </c>
      <c r="N120" s="106"/>
    </row>
    <row r="121" spans="2:14" ht="27.6" x14ac:dyDescent="0.3">
      <c r="B121" s="95" t="s">
        <v>15</v>
      </c>
      <c r="C121" s="95" t="s">
        <v>108</v>
      </c>
      <c r="D121" s="211">
        <v>7</v>
      </c>
      <c r="E121" s="211">
        <v>1</v>
      </c>
      <c r="F121" s="95" t="s">
        <v>74</v>
      </c>
      <c r="G121" s="95" t="s">
        <v>91</v>
      </c>
      <c r="H121" s="95" t="s">
        <v>78</v>
      </c>
      <c r="I121" s="95" t="s">
        <v>77</v>
      </c>
      <c r="J121" s="213">
        <v>45800</v>
      </c>
      <c r="K121" s="214">
        <v>0.375</v>
      </c>
      <c r="L121" s="213">
        <v>45800</v>
      </c>
      <c r="M121" s="96" t="s">
        <v>70</v>
      </c>
      <c r="N121" s="212"/>
    </row>
    <row r="122" spans="2:14" ht="69" x14ac:dyDescent="0.3">
      <c r="B122" s="106" t="s">
        <v>15</v>
      </c>
      <c r="C122" s="106" t="s">
        <v>108</v>
      </c>
      <c r="D122" s="220">
        <v>6</v>
      </c>
      <c r="E122" s="220">
        <v>2</v>
      </c>
      <c r="F122" s="106" t="s">
        <v>74</v>
      </c>
      <c r="G122" s="106" t="s">
        <v>91</v>
      </c>
      <c r="H122" s="106" t="s">
        <v>78</v>
      </c>
      <c r="I122" s="106" t="s">
        <v>77</v>
      </c>
      <c r="J122" s="221">
        <v>45800</v>
      </c>
      <c r="K122" s="222">
        <v>0.51041666666666663</v>
      </c>
      <c r="L122" s="221">
        <v>45800</v>
      </c>
      <c r="M122" s="108" t="s">
        <v>70</v>
      </c>
      <c r="N122" s="228" t="s">
        <v>249</v>
      </c>
    </row>
    <row r="123" spans="2:14" ht="55.2" x14ac:dyDescent="0.3">
      <c r="B123" s="231" t="s">
        <v>15</v>
      </c>
      <c r="C123" s="231" t="s">
        <v>107</v>
      </c>
      <c r="D123" s="232">
        <v>11</v>
      </c>
      <c r="E123" s="232"/>
      <c r="F123" s="231" t="s">
        <v>73</v>
      </c>
      <c r="G123" s="231" t="s">
        <v>95</v>
      </c>
      <c r="H123" s="231" t="s">
        <v>56</v>
      </c>
      <c r="I123" s="231" t="s">
        <v>83</v>
      </c>
      <c r="J123" s="233"/>
      <c r="K123" s="234">
        <v>0.51388888888888884</v>
      </c>
      <c r="L123" s="233">
        <v>45800</v>
      </c>
      <c r="M123" s="233" t="s">
        <v>70</v>
      </c>
      <c r="N123" s="235" t="s">
        <v>254</v>
      </c>
    </row>
    <row r="124" spans="2:14" ht="41.4" x14ac:dyDescent="0.3">
      <c r="B124" s="106" t="s">
        <v>15</v>
      </c>
      <c r="C124" s="106" t="s">
        <v>107</v>
      </c>
      <c r="D124" s="107">
        <v>8</v>
      </c>
      <c r="E124" s="107"/>
      <c r="F124" s="106" t="s">
        <v>73</v>
      </c>
      <c r="G124" s="106" t="s">
        <v>93</v>
      </c>
      <c r="H124" s="106" t="s">
        <v>79</v>
      </c>
      <c r="I124" s="106" t="s">
        <v>80</v>
      </c>
      <c r="J124" s="108">
        <v>45800</v>
      </c>
      <c r="K124" s="109">
        <v>0.35416666666666669</v>
      </c>
      <c r="L124" s="108">
        <v>45800</v>
      </c>
      <c r="M124" s="108" t="s">
        <v>70</v>
      </c>
      <c r="N124" s="224" t="s">
        <v>245</v>
      </c>
    </row>
    <row r="125" spans="2:14" ht="27.6" x14ac:dyDescent="0.3">
      <c r="B125" s="95" t="s">
        <v>15</v>
      </c>
      <c r="C125" s="106" t="s">
        <v>107</v>
      </c>
      <c r="D125" s="107">
        <v>9</v>
      </c>
      <c r="E125" s="107"/>
      <c r="F125" s="106" t="s">
        <v>73</v>
      </c>
      <c r="G125" s="106" t="s">
        <v>92</v>
      </c>
      <c r="H125" s="106" t="s">
        <v>118</v>
      </c>
      <c r="I125" s="106" t="s">
        <v>119</v>
      </c>
      <c r="J125" s="108">
        <v>45800</v>
      </c>
      <c r="K125" s="109">
        <v>0.52083333333333337</v>
      </c>
      <c r="L125" s="108">
        <v>45800</v>
      </c>
      <c r="M125" s="108" t="s">
        <v>70</v>
      </c>
      <c r="N125" s="106"/>
    </row>
    <row r="126" spans="2:14" ht="27.6" x14ac:dyDescent="0.3">
      <c r="B126" s="95" t="s">
        <v>15</v>
      </c>
      <c r="C126" s="106" t="s">
        <v>108</v>
      </c>
      <c r="D126" s="220">
        <v>8</v>
      </c>
      <c r="E126" s="220"/>
      <c r="F126" s="106" t="s">
        <v>74</v>
      </c>
      <c r="G126" s="106" t="s">
        <v>91</v>
      </c>
      <c r="H126" s="106" t="s">
        <v>75</v>
      </c>
      <c r="I126" s="106" t="s">
        <v>76</v>
      </c>
      <c r="J126" s="221">
        <v>45803</v>
      </c>
      <c r="K126" s="222">
        <v>0.35416666666666669</v>
      </c>
      <c r="L126" s="221">
        <v>45803</v>
      </c>
      <c r="M126" s="108" t="s">
        <v>70</v>
      </c>
      <c r="N126" s="223"/>
    </row>
    <row r="127" spans="2:14" ht="165.6" x14ac:dyDescent="0.3">
      <c r="B127" s="106" t="s">
        <v>15</v>
      </c>
      <c r="C127" s="106" t="s">
        <v>107</v>
      </c>
      <c r="D127" s="107">
        <v>9</v>
      </c>
      <c r="E127" s="107"/>
      <c r="F127" s="106" t="s">
        <v>73</v>
      </c>
      <c r="G127" s="106" t="s">
        <v>93</v>
      </c>
      <c r="H127" s="106" t="s">
        <v>79</v>
      </c>
      <c r="I127" s="106" t="s">
        <v>80</v>
      </c>
      <c r="J127" s="108">
        <v>45803</v>
      </c>
      <c r="K127" s="109">
        <v>0.35416666666666669</v>
      </c>
      <c r="L127" s="108">
        <v>45803</v>
      </c>
      <c r="M127" s="108" t="s">
        <v>70</v>
      </c>
      <c r="N127" s="224" t="s">
        <v>247</v>
      </c>
    </row>
    <row r="128" spans="2:14" ht="41.4" x14ac:dyDescent="0.3">
      <c r="B128" s="235" t="s">
        <v>15</v>
      </c>
      <c r="C128" s="235" t="s">
        <v>107</v>
      </c>
      <c r="D128" s="236">
        <v>10</v>
      </c>
      <c r="E128" s="236"/>
      <c r="F128" s="235" t="s">
        <v>73</v>
      </c>
      <c r="G128" s="235" t="s">
        <v>103</v>
      </c>
      <c r="H128" s="235" t="s">
        <v>57</v>
      </c>
      <c r="I128" s="235" t="s">
        <v>85</v>
      </c>
      <c r="J128" s="237">
        <v>45803</v>
      </c>
      <c r="K128" s="238">
        <v>0.45833333333333331</v>
      </c>
      <c r="L128" s="237">
        <v>45803</v>
      </c>
      <c r="M128" s="237" t="s">
        <v>70</v>
      </c>
      <c r="N128" s="235" t="s">
        <v>253</v>
      </c>
    </row>
    <row r="129" spans="2:14" ht="27.6" x14ac:dyDescent="0.3">
      <c r="B129" s="235" t="s">
        <v>15</v>
      </c>
      <c r="C129" s="235" t="s">
        <v>107</v>
      </c>
      <c r="D129" s="236">
        <v>11</v>
      </c>
      <c r="E129" s="236"/>
      <c r="F129" s="235" t="s">
        <v>73</v>
      </c>
      <c r="G129" s="235" t="s">
        <v>95</v>
      </c>
      <c r="H129" s="235" t="s">
        <v>56</v>
      </c>
      <c r="I129" s="235" t="s">
        <v>83</v>
      </c>
      <c r="J129" s="237">
        <v>45803</v>
      </c>
      <c r="K129" s="238">
        <v>0.51388888888888884</v>
      </c>
      <c r="L129" s="237">
        <v>45803</v>
      </c>
      <c r="M129" s="237" t="s">
        <v>70</v>
      </c>
      <c r="N129" s="235" t="s">
        <v>255</v>
      </c>
    </row>
    <row r="130" spans="2:14" ht="69" x14ac:dyDescent="0.3">
      <c r="B130" s="231" t="s">
        <v>15</v>
      </c>
      <c r="C130" s="231" t="s">
        <v>107</v>
      </c>
      <c r="D130" s="232">
        <v>10</v>
      </c>
      <c r="E130" s="232"/>
      <c r="F130" s="231" t="s">
        <v>73</v>
      </c>
      <c r="G130" s="231" t="s">
        <v>104</v>
      </c>
      <c r="H130" s="231" t="s">
        <v>86</v>
      </c>
      <c r="I130" s="231" t="s">
        <v>87</v>
      </c>
      <c r="J130" s="233"/>
      <c r="K130" s="234">
        <v>0.42708333333333331</v>
      </c>
      <c r="L130" s="233">
        <v>45804</v>
      </c>
      <c r="M130" s="233" t="s">
        <v>70</v>
      </c>
      <c r="N130" s="235" t="s">
        <v>256</v>
      </c>
    </row>
    <row r="131" spans="2:14" ht="27.6" x14ac:dyDescent="0.3">
      <c r="B131" s="95" t="s">
        <v>15</v>
      </c>
      <c r="C131" s="106" t="s">
        <v>108</v>
      </c>
      <c r="D131" s="220">
        <v>8</v>
      </c>
      <c r="E131" s="220">
        <v>1</v>
      </c>
      <c r="F131" s="106" t="s">
        <v>74</v>
      </c>
      <c r="G131" s="106" t="s">
        <v>91</v>
      </c>
      <c r="H131" s="106" t="s">
        <v>78</v>
      </c>
      <c r="I131" s="106" t="s">
        <v>77</v>
      </c>
      <c r="J131" s="221">
        <v>45804</v>
      </c>
      <c r="K131" s="222">
        <v>0.375</v>
      </c>
      <c r="L131" s="221">
        <v>45804</v>
      </c>
      <c r="M131" s="108" t="s">
        <v>70</v>
      </c>
      <c r="N131" s="223"/>
    </row>
    <row r="132" spans="2:14" ht="69" x14ac:dyDescent="0.3">
      <c r="B132" s="95" t="s">
        <v>15</v>
      </c>
      <c r="C132" s="95" t="s">
        <v>108</v>
      </c>
      <c r="D132" s="211">
        <v>7</v>
      </c>
      <c r="E132" s="211">
        <v>2</v>
      </c>
      <c r="F132" s="95" t="s">
        <v>74</v>
      </c>
      <c r="G132" s="95" t="s">
        <v>91</v>
      </c>
      <c r="H132" s="95" t="s">
        <v>78</v>
      </c>
      <c r="I132" s="95" t="s">
        <v>77</v>
      </c>
      <c r="J132" s="213">
        <v>45804</v>
      </c>
      <c r="K132" s="214">
        <v>0.51041666666666663</v>
      </c>
      <c r="L132" s="213">
        <v>45804</v>
      </c>
      <c r="M132" s="96" t="s">
        <v>70</v>
      </c>
      <c r="N132" s="230" t="s">
        <v>249</v>
      </c>
    </row>
    <row r="133" spans="2:14" ht="27.6" x14ac:dyDescent="0.3">
      <c r="B133" s="95" t="s">
        <v>15</v>
      </c>
      <c r="C133" s="106" t="s">
        <v>107</v>
      </c>
      <c r="D133" s="107">
        <v>12</v>
      </c>
      <c r="E133" s="107"/>
      <c r="F133" s="106" t="s">
        <v>73</v>
      </c>
      <c r="G133" s="106" t="s">
        <v>95</v>
      </c>
      <c r="H133" s="106" t="s">
        <v>56</v>
      </c>
      <c r="I133" s="106" t="s">
        <v>83</v>
      </c>
      <c r="J133" s="108">
        <v>45804</v>
      </c>
      <c r="K133" s="109">
        <v>0.54166666666666663</v>
      </c>
      <c r="L133" s="108">
        <v>45804</v>
      </c>
      <c r="M133" s="108" t="s">
        <v>70</v>
      </c>
      <c r="N133" s="106"/>
    </row>
    <row r="134" spans="2:14" ht="27.6" x14ac:dyDescent="0.3">
      <c r="B134" s="95" t="s">
        <v>15</v>
      </c>
      <c r="C134" s="106" t="s">
        <v>107</v>
      </c>
      <c r="D134" s="107">
        <v>10</v>
      </c>
      <c r="E134" s="107"/>
      <c r="F134" s="106" t="s">
        <v>73</v>
      </c>
      <c r="G134" s="106" t="s">
        <v>92</v>
      </c>
      <c r="H134" s="106" t="s">
        <v>118</v>
      </c>
      <c r="I134" s="106" t="s">
        <v>119</v>
      </c>
      <c r="J134" s="108">
        <v>45804</v>
      </c>
      <c r="K134" s="109">
        <v>0.52083333333333337</v>
      </c>
      <c r="L134" s="108">
        <v>45804</v>
      </c>
      <c r="M134" s="108" t="s">
        <v>70</v>
      </c>
      <c r="N134" s="106"/>
    </row>
    <row r="135" spans="2:14" ht="27.6" x14ac:dyDescent="0.3">
      <c r="B135" s="95" t="s">
        <v>15</v>
      </c>
      <c r="C135" s="106" t="s">
        <v>107</v>
      </c>
      <c r="D135" s="107">
        <v>12</v>
      </c>
      <c r="E135" s="107"/>
      <c r="F135" s="106" t="s">
        <v>73</v>
      </c>
      <c r="G135" s="106" t="s">
        <v>94</v>
      </c>
      <c r="H135" s="106" t="s">
        <v>81</v>
      </c>
      <c r="I135" s="106" t="s">
        <v>82</v>
      </c>
      <c r="J135" s="108">
        <v>45804</v>
      </c>
      <c r="K135" s="109">
        <v>0.51041666666666663</v>
      </c>
      <c r="L135" s="108">
        <v>45804</v>
      </c>
      <c r="M135" s="108" t="s">
        <v>70</v>
      </c>
      <c r="N135" s="106"/>
    </row>
    <row r="136" spans="2:14" ht="27.6" x14ac:dyDescent="0.3">
      <c r="B136" s="235" t="s">
        <v>15</v>
      </c>
      <c r="C136" s="235" t="s">
        <v>107</v>
      </c>
      <c r="D136" s="236">
        <v>10</v>
      </c>
      <c r="E136" s="236"/>
      <c r="F136" s="235" t="s">
        <v>73</v>
      </c>
      <c r="G136" s="235" t="s">
        <v>104</v>
      </c>
      <c r="H136" s="235" t="s">
        <v>86</v>
      </c>
      <c r="I136" s="235" t="s">
        <v>87</v>
      </c>
      <c r="J136" s="237">
        <v>45805</v>
      </c>
      <c r="K136" s="238">
        <v>0.40625</v>
      </c>
      <c r="L136" s="237">
        <v>45805</v>
      </c>
      <c r="M136" s="237" t="s">
        <v>70</v>
      </c>
      <c r="N136" s="235" t="s">
        <v>251</v>
      </c>
    </row>
    <row r="137" spans="2:14" ht="27.6" x14ac:dyDescent="0.3">
      <c r="B137" s="95" t="s">
        <v>15</v>
      </c>
      <c r="C137" s="106" t="s">
        <v>108</v>
      </c>
      <c r="D137" s="220">
        <v>8</v>
      </c>
      <c r="E137" s="220">
        <v>1</v>
      </c>
      <c r="F137" s="106" t="s">
        <v>74</v>
      </c>
      <c r="G137" s="106" t="s">
        <v>91</v>
      </c>
      <c r="H137" s="106" t="s">
        <v>61</v>
      </c>
      <c r="I137" s="106" t="s">
        <v>58</v>
      </c>
      <c r="J137" s="221">
        <v>45805</v>
      </c>
      <c r="K137" s="222">
        <v>0.375</v>
      </c>
      <c r="L137" s="221">
        <v>45805</v>
      </c>
      <c r="M137" s="108" t="s">
        <v>70</v>
      </c>
      <c r="N137" s="223"/>
    </row>
    <row r="138" spans="2:14" ht="27.6" x14ac:dyDescent="0.3">
      <c r="B138" s="95" t="s">
        <v>15</v>
      </c>
      <c r="C138" s="106" t="s">
        <v>108</v>
      </c>
      <c r="D138" s="220">
        <v>8</v>
      </c>
      <c r="E138" s="220">
        <v>2</v>
      </c>
      <c r="F138" s="106" t="s">
        <v>74</v>
      </c>
      <c r="G138" s="106" t="s">
        <v>91</v>
      </c>
      <c r="H138" s="106" t="s">
        <v>61</v>
      </c>
      <c r="I138" s="106" t="s">
        <v>58</v>
      </c>
      <c r="J138" s="221">
        <v>45805</v>
      </c>
      <c r="K138" s="222">
        <v>0.51041666666666663</v>
      </c>
      <c r="L138" s="221">
        <v>45805</v>
      </c>
      <c r="M138" s="108" t="s">
        <v>70</v>
      </c>
      <c r="N138" s="223"/>
    </row>
    <row r="139" spans="2:14" ht="179.4" x14ac:dyDescent="0.3">
      <c r="B139" s="95" t="s">
        <v>15</v>
      </c>
      <c r="C139" s="106" t="s">
        <v>107</v>
      </c>
      <c r="D139" s="107">
        <v>10</v>
      </c>
      <c r="E139" s="107"/>
      <c r="F139" s="106" t="s">
        <v>73</v>
      </c>
      <c r="G139" s="106" t="s">
        <v>93</v>
      </c>
      <c r="H139" s="106" t="s">
        <v>79</v>
      </c>
      <c r="I139" s="106" t="s">
        <v>80</v>
      </c>
      <c r="J139" s="108">
        <v>45805</v>
      </c>
      <c r="K139" s="109">
        <v>0.35416666666666669</v>
      </c>
      <c r="L139" s="108">
        <v>45805</v>
      </c>
      <c r="M139" s="108" t="s">
        <v>70</v>
      </c>
      <c r="N139" s="224" t="s">
        <v>250</v>
      </c>
    </row>
    <row r="140" spans="2:14" ht="27.6" x14ac:dyDescent="0.3">
      <c r="B140" s="239" t="s">
        <v>15</v>
      </c>
      <c r="C140" s="235" t="s">
        <v>107</v>
      </c>
      <c r="D140" s="236">
        <v>11</v>
      </c>
      <c r="E140" s="236"/>
      <c r="F140" s="235" t="s">
        <v>73</v>
      </c>
      <c r="G140" s="235" t="s">
        <v>104</v>
      </c>
      <c r="H140" s="235" t="s">
        <v>86</v>
      </c>
      <c r="I140" s="235" t="s">
        <v>87</v>
      </c>
      <c r="J140" s="237">
        <v>45806</v>
      </c>
      <c r="K140" s="238">
        <v>0.60416666666666663</v>
      </c>
      <c r="L140" s="237">
        <v>45806</v>
      </c>
      <c r="M140" s="237" t="s">
        <v>70</v>
      </c>
      <c r="N140" s="235" t="s">
        <v>251</v>
      </c>
    </row>
    <row r="141" spans="2:14" ht="27.6" x14ac:dyDescent="0.3">
      <c r="B141" s="95" t="s">
        <v>15</v>
      </c>
      <c r="C141" s="106" t="s">
        <v>108</v>
      </c>
      <c r="D141" s="220">
        <v>9</v>
      </c>
      <c r="E141" s="220"/>
      <c r="F141" s="106" t="s">
        <v>74</v>
      </c>
      <c r="G141" s="106" t="s">
        <v>91</v>
      </c>
      <c r="H141" s="106" t="s">
        <v>62</v>
      </c>
      <c r="I141" s="106" t="s">
        <v>59</v>
      </c>
      <c r="J141" s="221">
        <v>45806</v>
      </c>
      <c r="K141" s="222">
        <v>0.35416666666666669</v>
      </c>
      <c r="L141" s="221">
        <v>45806</v>
      </c>
      <c r="M141" s="108" t="s">
        <v>70</v>
      </c>
      <c r="N141" s="223"/>
    </row>
    <row r="142" spans="2:14" ht="27.6" x14ac:dyDescent="0.3">
      <c r="B142" s="225" t="s">
        <v>15</v>
      </c>
      <c r="C142" s="225" t="s">
        <v>107</v>
      </c>
      <c r="D142" s="226">
        <v>10</v>
      </c>
      <c r="E142" s="226"/>
      <c r="F142" s="225" t="s">
        <v>73</v>
      </c>
      <c r="G142" s="225" t="s">
        <v>93</v>
      </c>
      <c r="H142" s="225" t="s">
        <v>79</v>
      </c>
      <c r="I142" s="225" t="s">
        <v>80</v>
      </c>
      <c r="J142" s="227"/>
      <c r="K142" s="109"/>
      <c r="L142" s="227">
        <v>45806</v>
      </c>
      <c r="M142" s="227" t="s">
        <v>70</v>
      </c>
      <c r="N142" s="224" t="s">
        <v>246</v>
      </c>
    </row>
    <row r="143" spans="2:14" ht="82.8" x14ac:dyDescent="0.3">
      <c r="B143" s="235" t="s">
        <v>15</v>
      </c>
      <c r="C143" s="235" t="s">
        <v>107</v>
      </c>
      <c r="D143" s="236">
        <v>11</v>
      </c>
      <c r="E143" s="236"/>
      <c r="F143" s="235" t="s">
        <v>73</v>
      </c>
      <c r="G143" s="235" t="s">
        <v>103</v>
      </c>
      <c r="H143" s="235" t="s">
        <v>57</v>
      </c>
      <c r="I143" s="235" t="s">
        <v>85</v>
      </c>
      <c r="J143" s="237">
        <v>45806</v>
      </c>
      <c r="K143" s="238">
        <v>0.45833333333333331</v>
      </c>
      <c r="L143" s="237">
        <v>45806</v>
      </c>
      <c r="M143" s="237" t="s">
        <v>70</v>
      </c>
      <c r="N143" s="235" t="s">
        <v>252</v>
      </c>
    </row>
    <row r="144" spans="2:14" ht="27.6" x14ac:dyDescent="0.3">
      <c r="B144" s="95" t="s">
        <v>15</v>
      </c>
      <c r="C144" s="106" t="s">
        <v>107</v>
      </c>
      <c r="D144" s="107">
        <v>11</v>
      </c>
      <c r="E144" s="107"/>
      <c r="F144" s="106" t="s">
        <v>73</v>
      </c>
      <c r="G144" s="106" t="s">
        <v>92</v>
      </c>
      <c r="H144" s="106" t="s">
        <v>118</v>
      </c>
      <c r="I144" s="106" t="s">
        <v>119</v>
      </c>
      <c r="J144" s="108">
        <v>45806</v>
      </c>
      <c r="K144" s="109">
        <v>0.52083333333333337</v>
      </c>
      <c r="L144" s="108">
        <v>45806</v>
      </c>
      <c r="M144" s="108" t="s">
        <v>70</v>
      </c>
      <c r="N144" s="106"/>
    </row>
    <row r="145" spans="2:14" x14ac:dyDescent="0.3">
      <c r="B145" s="95"/>
      <c r="C145" s="95"/>
      <c r="D145" s="100"/>
      <c r="E145" s="100"/>
      <c r="F145" s="95"/>
      <c r="G145" s="95"/>
      <c r="H145" s="95"/>
      <c r="I145" s="95"/>
      <c r="J145" s="96"/>
      <c r="K145" s="99"/>
      <c r="L145" s="96"/>
      <c r="M145" s="96"/>
      <c r="N145" s="106"/>
    </row>
    <row r="146" spans="2:14" ht="96.6" x14ac:dyDescent="0.3">
      <c r="B146" s="131" t="s">
        <v>17</v>
      </c>
      <c r="C146" s="131" t="s">
        <v>148</v>
      </c>
      <c r="D146" s="132">
        <v>1</v>
      </c>
      <c r="E146" s="132"/>
      <c r="F146" s="131" t="s">
        <v>73</v>
      </c>
      <c r="G146" s="131" t="s">
        <v>150</v>
      </c>
      <c r="H146" s="133" t="s">
        <v>86</v>
      </c>
      <c r="I146" s="133" t="s">
        <v>87</v>
      </c>
      <c r="J146" s="134">
        <v>45799</v>
      </c>
      <c r="K146" s="135">
        <v>0.75</v>
      </c>
      <c r="L146" s="134">
        <v>45799</v>
      </c>
      <c r="M146" s="135">
        <v>0.79166666666666663</v>
      </c>
      <c r="N146" s="131" t="s">
        <v>151</v>
      </c>
    </row>
    <row r="147" spans="2:14" x14ac:dyDescent="0.3">
      <c r="B147" s="95"/>
      <c r="C147" s="95"/>
      <c r="D147" s="100"/>
      <c r="E147" s="100"/>
      <c r="F147" s="95"/>
      <c r="G147" s="95"/>
      <c r="H147" s="95"/>
      <c r="I147" s="95"/>
      <c r="J147" s="96"/>
      <c r="K147" s="99"/>
      <c r="L147" s="96"/>
      <c r="M147" s="96"/>
      <c r="N147" s="106"/>
    </row>
    <row r="148" spans="2:14" ht="41.4" x14ac:dyDescent="0.3">
      <c r="B148" s="192" t="s">
        <v>19</v>
      </c>
      <c r="C148" s="192" t="s">
        <v>216</v>
      </c>
      <c r="D148" s="193"/>
      <c r="E148" s="193"/>
      <c r="F148" s="192"/>
      <c r="G148" s="192"/>
      <c r="H148" s="192"/>
      <c r="I148" s="192"/>
      <c r="J148" s="194"/>
      <c r="K148" s="195"/>
      <c r="L148" s="194"/>
      <c r="M148" s="194"/>
      <c r="N148" s="196"/>
    </row>
    <row r="149" spans="2:14" ht="41.4" x14ac:dyDescent="0.3">
      <c r="B149" s="192" t="s">
        <v>19</v>
      </c>
      <c r="C149" s="192" t="s">
        <v>223</v>
      </c>
      <c r="D149" s="193"/>
      <c r="E149" s="193"/>
      <c r="F149" s="192"/>
      <c r="G149" s="192"/>
      <c r="H149" s="192"/>
      <c r="I149" s="192"/>
      <c r="J149" s="194"/>
      <c r="K149" s="195"/>
      <c r="L149" s="194"/>
      <c r="M149" s="194"/>
      <c r="N149" s="196"/>
    </row>
    <row r="150" spans="2:14" ht="27.6" x14ac:dyDescent="0.3">
      <c r="B150" s="192" t="s">
        <v>19</v>
      </c>
      <c r="C150" s="192" t="s">
        <v>227</v>
      </c>
      <c r="D150" s="193"/>
      <c r="E150" s="193"/>
      <c r="F150" s="192"/>
      <c r="G150" s="192"/>
      <c r="H150" s="192"/>
      <c r="I150" s="192"/>
      <c r="J150" s="194"/>
      <c r="K150" s="195"/>
      <c r="L150" s="194"/>
      <c r="M150" s="194"/>
      <c r="N150" s="196"/>
    </row>
    <row r="151" spans="2:14" ht="60.75" customHeight="1" x14ac:dyDescent="0.3">
      <c r="B151" s="192" t="s">
        <v>19</v>
      </c>
      <c r="C151" s="192" t="s">
        <v>234</v>
      </c>
      <c r="D151" s="193"/>
      <c r="E151" s="193"/>
      <c r="F151" s="192"/>
      <c r="G151" s="192"/>
      <c r="H151" s="192"/>
      <c r="I151" s="192"/>
      <c r="J151" s="194"/>
      <c r="K151" s="195"/>
      <c r="L151" s="194"/>
      <c r="M151" s="194"/>
      <c r="N151" s="196"/>
    </row>
    <row r="152" spans="2:14" x14ac:dyDescent="0.3">
      <c r="B152" s="95"/>
      <c r="C152" s="95"/>
      <c r="D152" s="100"/>
      <c r="E152" s="100"/>
      <c r="F152" s="95"/>
      <c r="G152" s="95"/>
      <c r="H152" s="95"/>
      <c r="I152" s="95"/>
      <c r="J152" s="96"/>
      <c r="K152" s="99"/>
      <c r="L152" s="96"/>
      <c r="M152" s="96"/>
      <c r="N152" s="106"/>
    </row>
    <row r="153" spans="2:14" x14ac:dyDescent="0.3">
      <c r="B153" s="95"/>
      <c r="C153" s="95"/>
      <c r="D153" s="100"/>
      <c r="E153" s="100"/>
      <c r="F153" s="95"/>
      <c r="G153" s="95"/>
      <c r="H153" s="95"/>
      <c r="I153" s="95"/>
      <c r="J153" s="96"/>
      <c r="K153" s="99"/>
      <c r="L153" s="96"/>
      <c r="M153" s="96"/>
      <c r="N153" s="106"/>
    </row>
    <row r="154" spans="2:14" x14ac:dyDescent="0.3">
      <c r="B154" s="188"/>
      <c r="C154" s="188"/>
      <c r="D154" s="189"/>
      <c r="E154" s="189"/>
      <c r="F154" s="188"/>
      <c r="G154" s="188"/>
      <c r="H154" s="190"/>
      <c r="I154" s="190"/>
      <c r="J154" s="121"/>
      <c r="K154" s="191"/>
      <c r="L154" s="121"/>
      <c r="M154" s="191"/>
      <c r="N154" s="188"/>
    </row>
    <row r="155" spans="2:14" x14ac:dyDescent="0.3">
      <c r="B155" s="362"/>
      <c r="C155" s="363"/>
      <c r="D155" s="363"/>
      <c r="E155" s="363"/>
      <c r="F155" s="363"/>
      <c r="G155" s="363"/>
      <c r="H155" s="363"/>
      <c r="I155" s="363"/>
      <c r="J155" s="363"/>
      <c r="K155" s="363"/>
      <c r="L155" s="363"/>
      <c r="M155" s="363"/>
      <c r="N155" s="363"/>
    </row>
    <row r="156" spans="2:14" x14ac:dyDescent="0.3">
      <c r="B156" s="342"/>
      <c r="C156" s="342"/>
      <c r="D156" s="342"/>
      <c r="E156" s="342"/>
      <c r="F156" s="342"/>
      <c r="G156" s="342"/>
      <c r="H156" s="342"/>
      <c r="I156" s="342"/>
      <c r="J156" s="342"/>
      <c r="K156" s="342"/>
      <c r="L156" s="342"/>
      <c r="M156" s="342"/>
      <c r="N156" s="342"/>
    </row>
    <row r="157" spans="2:14" x14ac:dyDescent="0.3">
      <c r="B157" s="342"/>
      <c r="C157" s="342"/>
      <c r="D157" s="342"/>
      <c r="E157" s="342"/>
      <c r="F157" s="342"/>
      <c r="G157" s="342"/>
      <c r="H157" s="342"/>
      <c r="I157" s="342"/>
      <c r="J157" s="342"/>
      <c r="K157" s="342"/>
      <c r="L157" s="342"/>
      <c r="M157" s="342"/>
      <c r="N157" s="342"/>
    </row>
    <row r="158" spans="2:14" x14ac:dyDescent="0.3">
      <c r="B158" s="342"/>
      <c r="C158" s="342"/>
      <c r="D158" s="342"/>
      <c r="E158" s="342"/>
      <c r="F158" s="342"/>
      <c r="G158" s="342"/>
      <c r="H158" s="342"/>
      <c r="I158" s="342"/>
      <c r="J158" s="342"/>
      <c r="K158" s="342"/>
      <c r="L158" s="342"/>
      <c r="M158" s="342"/>
      <c r="N158" s="342"/>
    </row>
    <row r="159" spans="2:14" x14ac:dyDescent="0.3">
      <c r="B159" s="342"/>
      <c r="C159" s="342"/>
      <c r="D159" s="342"/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</row>
    <row r="160" spans="2:14" x14ac:dyDescent="0.3">
      <c r="B160" s="342"/>
      <c r="C160" s="342"/>
      <c r="D160" s="342"/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</row>
    <row r="161" spans="2:14" x14ac:dyDescent="0.3">
      <c r="B161" s="342"/>
      <c r="C161" s="342"/>
      <c r="D161" s="342"/>
      <c r="E161" s="342"/>
      <c r="F161" s="342"/>
      <c r="G161" s="342"/>
      <c r="H161" s="342"/>
      <c r="I161" s="342"/>
      <c r="J161" s="342"/>
      <c r="K161" s="342"/>
      <c r="L161" s="342"/>
      <c r="M161" s="342"/>
      <c r="N161" s="342"/>
    </row>
    <row r="162" spans="2:14" ht="28.8" x14ac:dyDescent="0.3">
      <c r="B162" s="359" t="s">
        <v>239</v>
      </c>
      <c r="C162" s="360"/>
      <c r="D162" s="360"/>
      <c r="E162" s="360"/>
      <c r="F162" s="360"/>
      <c r="G162" s="360"/>
      <c r="H162" s="360"/>
      <c r="I162" s="360"/>
      <c r="J162" s="360"/>
      <c r="K162" s="360"/>
      <c r="L162" s="360"/>
      <c r="M162" s="341"/>
      <c r="N162" s="342"/>
    </row>
    <row r="163" spans="2:14" ht="15" customHeight="1" thickBot="1" x14ac:dyDescent="0.35">
      <c r="B163" s="361"/>
      <c r="C163" s="343"/>
      <c r="D163" s="343"/>
      <c r="E163" s="343"/>
      <c r="F163" s="343"/>
      <c r="G163" s="343"/>
      <c r="H163" s="343"/>
      <c r="I163" s="343"/>
      <c r="J163" s="343"/>
      <c r="K163" s="343"/>
      <c r="L163" s="343"/>
      <c r="M163" s="342"/>
      <c r="N163" s="342"/>
    </row>
    <row r="164" spans="2:14" s="177" customFormat="1" ht="30" customHeight="1" thickBot="1" x14ac:dyDescent="0.35">
      <c r="B164" s="334" t="s">
        <v>7</v>
      </c>
      <c r="C164" s="335"/>
      <c r="D164" s="336">
        <v>2025</v>
      </c>
      <c r="E164" s="337"/>
      <c r="F164" s="337"/>
      <c r="G164" s="337"/>
      <c r="H164" s="337"/>
      <c r="I164" s="337"/>
      <c r="J164" s="337"/>
      <c r="K164" s="337"/>
      <c r="L164" s="338"/>
      <c r="M164" s="342"/>
      <c r="N164" s="342"/>
    </row>
    <row r="165" spans="2:14" ht="20.100000000000001" customHeight="1" x14ac:dyDescent="0.3">
      <c r="B165" s="157" t="s">
        <v>172</v>
      </c>
      <c r="C165" s="158" t="s">
        <v>173</v>
      </c>
      <c r="D165" s="159" t="s">
        <v>159</v>
      </c>
      <c r="E165" s="159" t="s">
        <v>160</v>
      </c>
      <c r="F165" s="159" t="s">
        <v>161</v>
      </c>
      <c r="G165" s="159" t="s">
        <v>162</v>
      </c>
      <c r="H165" s="159" t="s">
        <v>163</v>
      </c>
      <c r="I165" s="159" t="s">
        <v>164</v>
      </c>
      <c r="J165" s="159" t="s">
        <v>165</v>
      </c>
      <c r="K165" s="159" t="s">
        <v>166</v>
      </c>
      <c r="L165" s="160" t="s">
        <v>167</v>
      </c>
      <c r="M165" s="342"/>
      <c r="N165" s="342"/>
    </row>
    <row r="166" spans="2:14" ht="20.100000000000001" customHeight="1" x14ac:dyDescent="0.3">
      <c r="B166" s="171"/>
      <c r="C166" s="172" t="s">
        <v>174</v>
      </c>
      <c r="D166" s="175"/>
      <c r="E166" s="175"/>
      <c r="F166" s="175"/>
      <c r="G166" s="175"/>
      <c r="H166" s="175"/>
      <c r="I166" s="175"/>
      <c r="J166" s="175"/>
      <c r="K166" s="175"/>
      <c r="L166" s="176"/>
      <c r="M166" s="342"/>
      <c r="N166" s="342"/>
    </row>
    <row r="167" spans="2:14" ht="20.100000000000001" customHeight="1" x14ac:dyDescent="0.3">
      <c r="B167" s="171"/>
      <c r="C167" s="172" t="s">
        <v>175</v>
      </c>
      <c r="D167" s="175"/>
      <c r="E167" s="175"/>
      <c r="F167" s="175"/>
      <c r="G167" s="175"/>
      <c r="H167" s="175"/>
      <c r="I167" s="175"/>
      <c r="J167" s="175"/>
      <c r="K167" s="175"/>
      <c r="L167" s="176"/>
      <c r="M167" s="342"/>
      <c r="N167" s="342"/>
    </row>
    <row r="168" spans="2:14" ht="20.100000000000001" customHeight="1" x14ac:dyDescent="0.3">
      <c r="B168" s="174"/>
      <c r="C168" s="173" t="s">
        <v>176</v>
      </c>
      <c r="D168" s="147"/>
      <c r="E168" s="147"/>
      <c r="F168" s="147"/>
      <c r="G168" s="147"/>
      <c r="H168" s="147"/>
      <c r="I168" s="147"/>
      <c r="J168" s="147"/>
      <c r="K168" s="147"/>
      <c r="L168" s="154"/>
      <c r="M168" s="342"/>
      <c r="N168" s="342"/>
    </row>
    <row r="169" spans="2:14" ht="20.100000000000001" customHeight="1" thickBot="1" x14ac:dyDescent="0.35">
      <c r="B169" s="339" t="s">
        <v>197</v>
      </c>
      <c r="C169" s="340"/>
      <c r="D169" s="170">
        <f t="shared" ref="D169:L169" si="0">SUM(D166:D168)</f>
        <v>0</v>
      </c>
      <c r="E169" s="170">
        <f t="shared" si="0"/>
        <v>0</v>
      </c>
      <c r="F169" s="170">
        <f t="shared" si="0"/>
        <v>0</v>
      </c>
      <c r="G169" s="170">
        <f t="shared" si="0"/>
        <v>0</v>
      </c>
      <c r="H169" s="170">
        <f t="shared" si="0"/>
        <v>0</v>
      </c>
      <c r="I169" s="170">
        <f t="shared" si="0"/>
        <v>0</v>
      </c>
      <c r="J169" s="170">
        <f t="shared" si="0"/>
        <v>0</v>
      </c>
      <c r="K169" s="170">
        <f t="shared" si="0"/>
        <v>0</v>
      </c>
      <c r="L169" s="170">
        <f t="shared" si="0"/>
        <v>0</v>
      </c>
      <c r="M169" s="342"/>
      <c r="N169" s="342"/>
    </row>
    <row r="170" spans="2:14" ht="15" customHeight="1" thickBot="1" x14ac:dyDescent="0.35">
      <c r="B170" s="183"/>
      <c r="C170" s="184"/>
      <c r="D170" s="185"/>
      <c r="E170" s="185"/>
      <c r="F170" s="186"/>
      <c r="G170" s="187"/>
      <c r="H170" s="187"/>
      <c r="I170" s="187"/>
      <c r="J170" s="187"/>
      <c r="K170" s="187"/>
      <c r="L170" s="187"/>
      <c r="M170" s="342"/>
      <c r="N170" s="342"/>
    </row>
    <row r="171" spans="2:14" ht="20.100000000000001" customHeight="1" thickBot="1" x14ac:dyDescent="0.35">
      <c r="B171" s="325" t="s">
        <v>192</v>
      </c>
      <c r="C171" s="326"/>
      <c r="D171" s="326"/>
      <c r="E171" s="327"/>
      <c r="F171" s="167">
        <f>D169+E169+F169+G169+H169+I169+J169+K169+L169</f>
        <v>0</v>
      </c>
      <c r="G171" s="182"/>
      <c r="H171" s="182"/>
      <c r="I171" s="182"/>
      <c r="J171" s="182"/>
      <c r="K171" s="182"/>
      <c r="L171" s="182"/>
      <c r="M171" s="342"/>
      <c r="N171" s="342"/>
    </row>
    <row r="172" spans="2:14" ht="20.100000000000001" customHeight="1" thickBot="1" x14ac:dyDescent="0.35">
      <c r="B172" s="328" t="s">
        <v>209</v>
      </c>
      <c r="C172" s="329"/>
      <c r="D172" s="329"/>
      <c r="E172" s="330"/>
      <c r="F172" s="168">
        <v>3</v>
      </c>
      <c r="G172" s="182"/>
      <c r="H172" s="182"/>
      <c r="I172" s="182"/>
      <c r="J172" s="182"/>
      <c r="K172" s="182"/>
      <c r="L172" s="182"/>
      <c r="M172" s="342"/>
      <c r="N172" s="342"/>
    </row>
    <row r="173" spans="2:14" ht="20.100000000000001" customHeight="1" thickBot="1" x14ac:dyDescent="0.35">
      <c r="B173" s="331" t="s">
        <v>193</v>
      </c>
      <c r="C173" s="332"/>
      <c r="D173" s="332"/>
      <c r="E173" s="333"/>
      <c r="F173" s="169">
        <f>F172-F171</f>
        <v>3</v>
      </c>
      <c r="G173" s="182"/>
      <c r="H173" s="182"/>
      <c r="I173" s="182"/>
      <c r="J173" s="182"/>
      <c r="K173" s="182"/>
      <c r="L173" s="182"/>
      <c r="M173" s="342"/>
      <c r="N173" s="342"/>
    </row>
    <row r="174" spans="2:14" x14ac:dyDescent="0.3">
      <c r="B174" s="341"/>
      <c r="C174" s="342"/>
      <c r="D174" s="342"/>
      <c r="E174" s="342"/>
      <c r="F174" s="342"/>
      <c r="G174" s="342"/>
      <c r="H174" s="342"/>
      <c r="I174" s="342"/>
      <c r="J174" s="342"/>
      <c r="K174" s="342"/>
      <c r="L174" s="342"/>
      <c r="M174" s="342"/>
      <c r="N174" s="342"/>
    </row>
    <row r="175" spans="2:14" x14ac:dyDescent="0.3">
      <c r="B175" s="342"/>
      <c r="C175" s="342"/>
      <c r="D175" s="342"/>
      <c r="E175" s="342"/>
      <c r="F175" s="342"/>
      <c r="G175" s="342"/>
      <c r="H175" s="342"/>
      <c r="I175" s="342"/>
      <c r="J175" s="342"/>
      <c r="K175" s="342"/>
      <c r="L175" s="342"/>
      <c r="M175" s="342"/>
      <c r="N175" s="342"/>
    </row>
    <row r="176" spans="2:14" ht="14.4" thickBot="1" x14ac:dyDescent="0.35">
      <c r="B176" s="343"/>
      <c r="C176" s="343"/>
      <c r="D176" s="343"/>
      <c r="E176" s="343"/>
      <c r="F176" s="343"/>
      <c r="G176" s="343"/>
      <c r="H176" s="343"/>
      <c r="I176" s="343"/>
      <c r="J176" s="343"/>
      <c r="K176" s="343"/>
      <c r="L176" s="343"/>
      <c r="M176" s="342"/>
      <c r="N176" s="342"/>
    </row>
    <row r="177" spans="2:14" s="177" customFormat="1" ht="30" customHeight="1" thickBot="1" x14ac:dyDescent="0.35">
      <c r="B177" s="334" t="s">
        <v>9</v>
      </c>
      <c r="C177" s="335"/>
      <c r="D177" s="320">
        <v>2025</v>
      </c>
      <c r="E177" s="321"/>
      <c r="F177" s="321"/>
      <c r="G177" s="321"/>
      <c r="H177" s="321"/>
      <c r="I177" s="321"/>
      <c r="J177" s="321"/>
      <c r="K177" s="321"/>
      <c r="L177" s="322"/>
      <c r="M177" s="342"/>
      <c r="N177" s="342"/>
    </row>
    <row r="178" spans="2:14" ht="20.100000000000001" customHeight="1" x14ac:dyDescent="0.3">
      <c r="B178" s="305" t="s">
        <v>177</v>
      </c>
      <c r="C178" s="306"/>
      <c r="D178" s="159" t="s">
        <v>159</v>
      </c>
      <c r="E178" s="159" t="s">
        <v>160</v>
      </c>
      <c r="F178" s="159" t="s">
        <v>161</v>
      </c>
      <c r="G178" s="159" t="s">
        <v>162</v>
      </c>
      <c r="H178" s="159" t="s">
        <v>163</v>
      </c>
      <c r="I178" s="159" t="s">
        <v>164</v>
      </c>
      <c r="J178" s="159" t="s">
        <v>165</v>
      </c>
      <c r="K178" s="159" t="s">
        <v>166</v>
      </c>
      <c r="L178" s="160" t="s">
        <v>167</v>
      </c>
      <c r="M178" s="342"/>
      <c r="N178" s="342"/>
    </row>
    <row r="179" spans="2:14" ht="20.100000000000001" customHeight="1" x14ac:dyDescent="0.3">
      <c r="B179" s="307" t="s">
        <v>178</v>
      </c>
      <c r="C179" s="308"/>
      <c r="D179" s="175"/>
      <c r="E179" s="175"/>
      <c r="F179" s="175"/>
      <c r="G179" s="175"/>
      <c r="H179" s="175"/>
      <c r="I179" s="175"/>
      <c r="J179" s="175"/>
      <c r="K179" s="175"/>
      <c r="L179" s="176"/>
      <c r="M179" s="342"/>
      <c r="N179" s="342"/>
    </row>
    <row r="180" spans="2:14" ht="20.100000000000001" customHeight="1" x14ac:dyDescent="0.3">
      <c r="B180" s="307" t="s">
        <v>179</v>
      </c>
      <c r="C180" s="308"/>
      <c r="D180" s="175"/>
      <c r="E180" s="175"/>
      <c r="F180" s="175"/>
      <c r="G180" s="175"/>
      <c r="H180" s="175"/>
      <c r="I180" s="175"/>
      <c r="J180" s="175"/>
      <c r="K180" s="175"/>
      <c r="L180" s="176"/>
      <c r="M180" s="342"/>
      <c r="N180" s="342"/>
    </row>
    <row r="181" spans="2:14" ht="20.100000000000001" customHeight="1" x14ac:dyDescent="0.3">
      <c r="B181" s="307" t="s">
        <v>100</v>
      </c>
      <c r="C181" s="308"/>
      <c r="D181" s="147">
        <f>COUNTIFS(B1:B154,"1.2. Studijski posjeti (nacionalnim i inozemnim) organizacijama koje se bave inovativnim metodama prezentacije i približavanja STEM-a djeci i učenicima",C1:C154,"Studijska posjeta - slatkovodni akvarij, Kuća Bajki Ogulin")</f>
        <v>1</v>
      </c>
      <c r="E181" s="147"/>
      <c r="F181" s="147"/>
      <c r="G181" s="147"/>
      <c r="H181" s="147"/>
      <c r="I181" s="147"/>
      <c r="J181" s="147"/>
      <c r="K181" s="147"/>
      <c r="L181" s="154"/>
      <c r="M181" s="342"/>
      <c r="N181" s="342"/>
    </row>
    <row r="182" spans="2:14" ht="20.100000000000001" customHeight="1" thickBot="1" x14ac:dyDescent="0.35">
      <c r="B182" s="339" t="s">
        <v>196</v>
      </c>
      <c r="C182" s="340"/>
      <c r="D182" s="170">
        <f>SUM(D179:D181)</f>
        <v>1</v>
      </c>
      <c r="E182" s="170">
        <f t="shared" ref="E182" si="1">SUM(E179:E181)</f>
        <v>0</v>
      </c>
      <c r="F182" s="170">
        <f t="shared" ref="F182" si="2">SUM(F179:F181)</f>
        <v>0</v>
      </c>
      <c r="G182" s="170">
        <f t="shared" ref="G182" si="3">SUM(G179:G181)</f>
        <v>0</v>
      </c>
      <c r="H182" s="170">
        <f t="shared" ref="H182" si="4">SUM(H179:H181)</f>
        <v>0</v>
      </c>
      <c r="I182" s="170">
        <f t="shared" ref="I182" si="5">SUM(I179:I181)</f>
        <v>0</v>
      </c>
      <c r="J182" s="170">
        <f t="shared" ref="J182" si="6">SUM(J179:J181)</f>
        <v>0</v>
      </c>
      <c r="K182" s="170">
        <f t="shared" ref="K182" si="7">SUM(K179:K181)</f>
        <v>0</v>
      </c>
      <c r="L182" s="170">
        <f t="shared" ref="L182" si="8">SUM(L179:L181)</f>
        <v>0</v>
      </c>
      <c r="M182" s="342"/>
      <c r="N182" s="342"/>
    </row>
    <row r="183" spans="2:14" ht="15" customHeight="1" thickBot="1" x14ac:dyDescent="0.35">
      <c r="B183" s="183"/>
      <c r="C183" s="184"/>
      <c r="D183" s="185"/>
      <c r="E183" s="185"/>
      <c r="F183" s="186"/>
      <c r="G183" s="187"/>
      <c r="H183" s="187"/>
      <c r="I183" s="187"/>
      <c r="J183" s="187"/>
      <c r="K183" s="187"/>
      <c r="L183" s="187"/>
      <c r="M183" s="342"/>
      <c r="N183" s="342"/>
    </row>
    <row r="184" spans="2:14" ht="20.100000000000001" customHeight="1" thickBot="1" x14ac:dyDescent="0.35">
      <c r="B184" s="325" t="s">
        <v>194</v>
      </c>
      <c r="C184" s="326"/>
      <c r="D184" s="326"/>
      <c r="E184" s="327"/>
      <c r="F184" s="167">
        <f>D182+E182+F182+G182+H182+I182+J182+K182+L182</f>
        <v>1</v>
      </c>
      <c r="G184" s="182"/>
      <c r="H184" s="182"/>
      <c r="I184" s="182"/>
      <c r="J184" s="182"/>
      <c r="K184" s="182"/>
      <c r="L184" s="182"/>
      <c r="M184" s="342"/>
      <c r="N184" s="342"/>
    </row>
    <row r="185" spans="2:14" ht="20.100000000000001" customHeight="1" thickBot="1" x14ac:dyDescent="0.35">
      <c r="B185" s="328" t="s">
        <v>208</v>
      </c>
      <c r="C185" s="329"/>
      <c r="D185" s="329"/>
      <c r="E185" s="330"/>
      <c r="F185" s="168">
        <v>3</v>
      </c>
      <c r="G185" s="182"/>
      <c r="H185" s="182"/>
      <c r="I185" s="182"/>
      <c r="J185" s="182"/>
      <c r="K185" s="182"/>
      <c r="L185" s="182"/>
      <c r="M185" s="342"/>
      <c r="N185" s="342"/>
    </row>
    <row r="186" spans="2:14" ht="20.100000000000001" customHeight="1" thickBot="1" x14ac:dyDescent="0.35">
      <c r="B186" s="331" t="s">
        <v>195</v>
      </c>
      <c r="C186" s="332"/>
      <c r="D186" s="332"/>
      <c r="E186" s="333"/>
      <c r="F186" s="169">
        <f>F185-F184</f>
        <v>2</v>
      </c>
      <c r="G186" s="182"/>
      <c r="H186" s="182"/>
      <c r="I186" s="182"/>
      <c r="J186" s="182"/>
      <c r="K186" s="182"/>
      <c r="L186" s="182"/>
      <c r="M186" s="342"/>
      <c r="N186" s="342"/>
    </row>
    <row r="187" spans="2:14" x14ac:dyDescent="0.3">
      <c r="B187" s="341"/>
      <c r="C187" s="342"/>
      <c r="D187" s="342"/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</row>
    <row r="188" spans="2:14" x14ac:dyDescent="0.3">
      <c r="B188" s="342"/>
      <c r="C188" s="342"/>
      <c r="D188" s="342"/>
      <c r="E188" s="342"/>
      <c r="F188" s="342"/>
      <c r="G188" s="342"/>
      <c r="H188" s="342"/>
      <c r="I188" s="342"/>
      <c r="J188" s="342"/>
      <c r="K188" s="342"/>
      <c r="L188" s="342"/>
      <c r="M188" s="342"/>
      <c r="N188" s="342"/>
    </row>
    <row r="189" spans="2:14" ht="14.4" thickBot="1" x14ac:dyDescent="0.35">
      <c r="B189" s="343"/>
      <c r="C189" s="343"/>
      <c r="D189" s="343"/>
      <c r="E189" s="343"/>
      <c r="F189" s="343"/>
      <c r="G189" s="343"/>
      <c r="H189" s="343"/>
      <c r="I189" s="343"/>
      <c r="J189" s="343"/>
      <c r="K189" s="343"/>
      <c r="L189" s="343"/>
      <c r="M189" s="342"/>
      <c r="N189" s="342"/>
    </row>
    <row r="190" spans="2:14" ht="30" customHeight="1" thickBot="1" x14ac:dyDescent="0.35">
      <c r="B190" s="334" t="s">
        <v>11</v>
      </c>
      <c r="C190" s="335"/>
      <c r="D190" s="336">
        <v>2025</v>
      </c>
      <c r="E190" s="337"/>
      <c r="F190" s="337"/>
      <c r="G190" s="337"/>
      <c r="H190" s="337"/>
      <c r="I190" s="337"/>
      <c r="J190" s="337"/>
      <c r="K190" s="337"/>
      <c r="L190" s="338"/>
      <c r="M190" s="342"/>
      <c r="N190" s="342"/>
    </row>
    <row r="191" spans="2:14" ht="20.100000000000001" customHeight="1" x14ac:dyDescent="0.3">
      <c r="B191" s="157" t="s">
        <v>172</v>
      </c>
      <c r="C191" s="158" t="s">
        <v>173</v>
      </c>
      <c r="D191" s="159" t="s">
        <v>159</v>
      </c>
      <c r="E191" s="159" t="s">
        <v>160</v>
      </c>
      <c r="F191" s="159" t="s">
        <v>161</v>
      </c>
      <c r="G191" s="159" t="s">
        <v>162</v>
      </c>
      <c r="H191" s="159" t="s">
        <v>163</v>
      </c>
      <c r="I191" s="159" t="s">
        <v>164</v>
      </c>
      <c r="J191" s="159" t="s">
        <v>165</v>
      </c>
      <c r="K191" s="159" t="s">
        <v>166</v>
      </c>
      <c r="L191" s="160" t="s">
        <v>167</v>
      </c>
      <c r="M191" s="342"/>
      <c r="N191" s="342"/>
    </row>
    <row r="192" spans="2:14" ht="20.100000000000001" customHeight="1" x14ac:dyDescent="0.3">
      <c r="B192" s="171"/>
      <c r="C192" s="172" t="s">
        <v>180</v>
      </c>
      <c r="D192" s="175"/>
      <c r="E192" s="175"/>
      <c r="F192" s="175"/>
      <c r="G192" s="175"/>
      <c r="H192" s="175"/>
      <c r="I192" s="175"/>
      <c r="J192" s="175"/>
      <c r="K192" s="175"/>
      <c r="L192" s="176"/>
      <c r="M192" s="342"/>
      <c r="N192" s="342"/>
    </row>
    <row r="193" spans="2:14" ht="20.100000000000001" customHeight="1" x14ac:dyDescent="0.3">
      <c r="B193" s="171"/>
      <c r="C193" s="172" t="s">
        <v>181</v>
      </c>
      <c r="D193" s="175"/>
      <c r="E193" s="175"/>
      <c r="F193" s="175"/>
      <c r="G193" s="175"/>
      <c r="H193" s="175"/>
      <c r="I193" s="175"/>
      <c r="J193" s="175"/>
      <c r="K193" s="175"/>
      <c r="L193" s="176"/>
      <c r="M193" s="342"/>
      <c r="N193" s="342"/>
    </row>
    <row r="194" spans="2:14" ht="20.100000000000001" customHeight="1" x14ac:dyDescent="0.3">
      <c r="B194" s="171"/>
      <c r="C194" s="172" t="s">
        <v>182</v>
      </c>
      <c r="D194" s="175"/>
      <c r="E194" s="175"/>
      <c r="F194" s="175"/>
      <c r="G194" s="175"/>
      <c r="H194" s="175"/>
      <c r="I194" s="175"/>
      <c r="J194" s="175"/>
      <c r="K194" s="175"/>
      <c r="L194" s="176"/>
      <c r="M194" s="342"/>
      <c r="N194" s="342"/>
    </row>
    <row r="195" spans="2:14" ht="20.100000000000001" customHeight="1" x14ac:dyDescent="0.3">
      <c r="B195" s="171"/>
      <c r="C195" s="172" t="s">
        <v>183</v>
      </c>
      <c r="D195" s="175"/>
      <c r="E195" s="175"/>
      <c r="F195" s="175"/>
      <c r="G195" s="175"/>
      <c r="H195" s="175"/>
      <c r="I195" s="175"/>
      <c r="J195" s="175"/>
      <c r="K195" s="175"/>
      <c r="L195" s="176"/>
      <c r="M195" s="342"/>
      <c r="N195" s="342"/>
    </row>
    <row r="196" spans="2:14" ht="20.100000000000001" customHeight="1" x14ac:dyDescent="0.3">
      <c r="B196" s="171"/>
      <c r="C196" s="172" t="s">
        <v>184</v>
      </c>
      <c r="D196" s="175"/>
      <c r="E196" s="175"/>
      <c r="F196" s="175"/>
      <c r="G196" s="175"/>
      <c r="H196" s="175"/>
      <c r="I196" s="175"/>
      <c r="J196" s="175"/>
      <c r="K196" s="175"/>
      <c r="L196" s="176"/>
      <c r="M196" s="342"/>
      <c r="N196" s="342"/>
    </row>
    <row r="197" spans="2:14" ht="20.100000000000001" customHeight="1" x14ac:dyDescent="0.3">
      <c r="B197" s="171"/>
      <c r="C197" s="172" t="s">
        <v>185</v>
      </c>
      <c r="D197" s="175"/>
      <c r="E197" s="175"/>
      <c r="F197" s="175"/>
      <c r="G197" s="175"/>
      <c r="H197" s="175"/>
      <c r="I197" s="175"/>
      <c r="J197" s="175"/>
      <c r="K197" s="175"/>
      <c r="L197" s="176"/>
      <c r="M197" s="342"/>
      <c r="N197" s="342"/>
    </row>
    <row r="198" spans="2:14" ht="20.100000000000001" customHeight="1" x14ac:dyDescent="0.3">
      <c r="B198" s="171"/>
      <c r="C198" s="172" t="s">
        <v>186</v>
      </c>
      <c r="D198" s="175"/>
      <c r="E198" s="175"/>
      <c r="F198" s="175"/>
      <c r="G198" s="175"/>
      <c r="H198" s="175"/>
      <c r="I198" s="175"/>
      <c r="J198" s="175"/>
      <c r="K198" s="175"/>
      <c r="L198" s="176"/>
      <c r="M198" s="342"/>
      <c r="N198" s="342"/>
    </row>
    <row r="199" spans="2:14" ht="20.100000000000001" customHeight="1" x14ac:dyDescent="0.3">
      <c r="B199" s="171"/>
      <c r="C199" s="172" t="s">
        <v>187</v>
      </c>
      <c r="D199" s="175"/>
      <c r="E199" s="175"/>
      <c r="F199" s="175"/>
      <c r="G199" s="175"/>
      <c r="H199" s="175"/>
      <c r="I199" s="175"/>
      <c r="J199" s="175"/>
      <c r="K199" s="175"/>
      <c r="L199" s="176"/>
      <c r="M199" s="342"/>
      <c r="N199" s="342"/>
    </row>
    <row r="200" spans="2:14" ht="20.100000000000001" customHeight="1" x14ac:dyDescent="0.3">
      <c r="B200" s="171"/>
      <c r="C200" s="172" t="s">
        <v>188</v>
      </c>
      <c r="D200" s="175"/>
      <c r="E200" s="175"/>
      <c r="F200" s="175"/>
      <c r="G200" s="175"/>
      <c r="H200" s="175"/>
      <c r="I200" s="175"/>
      <c r="J200" s="175"/>
      <c r="K200" s="175"/>
      <c r="L200" s="176"/>
      <c r="M200" s="342"/>
      <c r="N200" s="342"/>
    </row>
    <row r="201" spans="2:14" ht="20.100000000000001" customHeight="1" x14ac:dyDescent="0.3">
      <c r="B201" s="174"/>
      <c r="C201" s="173" t="s">
        <v>189</v>
      </c>
      <c r="D201" s="147"/>
      <c r="E201" s="147"/>
      <c r="F201" s="147"/>
      <c r="G201" s="147"/>
      <c r="H201" s="147"/>
      <c r="I201" s="147"/>
      <c r="J201" s="147"/>
      <c r="K201" s="147"/>
      <c r="L201" s="154"/>
      <c r="M201" s="342"/>
      <c r="N201" s="342"/>
    </row>
    <row r="202" spans="2:14" ht="20.100000000000001" customHeight="1" thickBot="1" x14ac:dyDescent="0.35">
      <c r="B202" s="339" t="s">
        <v>198</v>
      </c>
      <c r="C202" s="340"/>
      <c r="D202" s="170">
        <f t="shared" ref="D202:L202" si="9">SUM(D192:D201)</f>
        <v>0</v>
      </c>
      <c r="E202" s="170">
        <f t="shared" si="9"/>
        <v>0</v>
      </c>
      <c r="F202" s="170">
        <f t="shared" si="9"/>
        <v>0</v>
      </c>
      <c r="G202" s="170">
        <f t="shared" si="9"/>
        <v>0</v>
      </c>
      <c r="H202" s="170">
        <f t="shared" si="9"/>
        <v>0</v>
      </c>
      <c r="I202" s="170">
        <f t="shared" si="9"/>
        <v>0</v>
      </c>
      <c r="J202" s="170">
        <f t="shared" si="9"/>
        <v>0</v>
      </c>
      <c r="K202" s="170">
        <f t="shared" si="9"/>
        <v>0</v>
      </c>
      <c r="L202" s="170">
        <f t="shared" si="9"/>
        <v>0</v>
      </c>
      <c r="M202" s="342"/>
      <c r="N202" s="342"/>
    </row>
    <row r="203" spans="2:14" ht="14.4" thickBot="1" x14ac:dyDescent="0.35"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342"/>
      <c r="N203" s="342"/>
    </row>
    <row r="204" spans="2:14" ht="20.100000000000001" customHeight="1" thickBot="1" x14ac:dyDescent="0.35">
      <c r="B204" s="325" t="s">
        <v>190</v>
      </c>
      <c r="C204" s="326"/>
      <c r="D204" s="326"/>
      <c r="E204" s="327"/>
      <c r="F204" s="167">
        <f>D202+E202+F202+G202+H202+I202+J202+K202+L202</f>
        <v>0</v>
      </c>
      <c r="G204" s="182"/>
      <c r="H204" s="182"/>
      <c r="I204" s="182"/>
      <c r="J204" s="182"/>
      <c r="K204" s="182"/>
      <c r="L204" s="182"/>
      <c r="M204" s="342"/>
      <c r="N204" s="342"/>
    </row>
    <row r="205" spans="2:14" ht="20.100000000000001" customHeight="1" thickBot="1" x14ac:dyDescent="0.35">
      <c r="B205" s="328" t="s">
        <v>207</v>
      </c>
      <c r="C205" s="329"/>
      <c r="D205" s="329"/>
      <c r="E205" s="330"/>
      <c r="F205" s="168">
        <v>10</v>
      </c>
      <c r="G205" s="182"/>
      <c r="H205" s="182"/>
      <c r="I205" s="182"/>
      <c r="J205" s="182"/>
      <c r="K205" s="182"/>
      <c r="L205" s="182"/>
      <c r="M205" s="342"/>
      <c r="N205" s="342"/>
    </row>
    <row r="206" spans="2:14" ht="20.100000000000001" customHeight="1" thickBot="1" x14ac:dyDescent="0.35">
      <c r="B206" s="331" t="s">
        <v>191</v>
      </c>
      <c r="C206" s="332"/>
      <c r="D206" s="332"/>
      <c r="E206" s="333"/>
      <c r="F206" s="169">
        <f>F205-F204</f>
        <v>10</v>
      </c>
      <c r="G206" s="182"/>
      <c r="H206" s="182"/>
      <c r="I206" s="182"/>
      <c r="J206" s="182"/>
      <c r="K206" s="182"/>
      <c r="L206" s="182"/>
      <c r="M206" s="342"/>
      <c r="N206" s="342"/>
    </row>
    <row r="207" spans="2:14" x14ac:dyDescent="0.3">
      <c r="B207" s="341"/>
      <c r="C207" s="342"/>
      <c r="D207" s="342"/>
      <c r="E207" s="342"/>
      <c r="F207" s="342"/>
      <c r="G207" s="342"/>
      <c r="H207" s="342"/>
      <c r="I207" s="342"/>
      <c r="J207" s="342"/>
      <c r="K207" s="342"/>
      <c r="L207" s="342"/>
      <c r="M207" s="342"/>
      <c r="N207" s="341"/>
    </row>
    <row r="208" spans="2:14" x14ac:dyDescent="0.3">
      <c r="B208" s="342"/>
      <c r="C208" s="342"/>
      <c r="D208" s="342"/>
      <c r="E208" s="342"/>
      <c r="F208" s="342"/>
      <c r="G208" s="342"/>
      <c r="H208" s="342"/>
      <c r="I208" s="342"/>
      <c r="J208" s="342"/>
      <c r="K208" s="342"/>
      <c r="L208" s="342"/>
      <c r="M208" s="342"/>
      <c r="N208" s="342"/>
    </row>
    <row r="209" spans="2:14" ht="14.4" thickBot="1" x14ac:dyDescent="0.35">
      <c r="B209" s="343"/>
      <c r="C209" s="343"/>
      <c r="D209" s="343"/>
      <c r="E209" s="343"/>
      <c r="F209" s="343"/>
      <c r="G209" s="343"/>
      <c r="H209" s="343"/>
      <c r="I209" s="343"/>
      <c r="J209" s="343"/>
      <c r="K209" s="343"/>
      <c r="L209" s="343"/>
      <c r="M209" s="343"/>
      <c r="N209" s="342"/>
    </row>
    <row r="210" spans="2:14" ht="30" customHeight="1" thickBot="1" x14ac:dyDescent="0.35">
      <c r="B210" s="334" t="s">
        <v>13</v>
      </c>
      <c r="C210" s="335"/>
      <c r="D210" s="346">
        <v>2025</v>
      </c>
      <c r="E210" s="347"/>
      <c r="F210" s="347"/>
      <c r="G210" s="347"/>
      <c r="H210" s="347"/>
      <c r="I210" s="347"/>
      <c r="J210" s="347"/>
      <c r="K210" s="347"/>
      <c r="L210" s="347"/>
      <c r="M210" s="348"/>
      <c r="N210" s="342"/>
    </row>
    <row r="211" spans="2:14" ht="20.100000000000001" customHeight="1" x14ac:dyDescent="0.3">
      <c r="B211" s="305" t="s">
        <v>210</v>
      </c>
      <c r="C211" s="306"/>
      <c r="D211" s="178" t="s">
        <v>199</v>
      </c>
      <c r="E211" s="159" t="s">
        <v>159</v>
      </c>
      <c r="F211" s="159" t="s">
        <v>160</v>
      </c>
      <c r="G211" s="159" t="s">
        <v>161</v>
      </c>
      <c r="H211" s="159" t="s">
        <v>162</v>
      </c>
      <c r="I211" s="159" t="s">
        <v>163</v>
      </c>
      <c r="J211" s="159" t="s">
        <v>164</v>
      </c>
      <c r="K211" s="159" t="s">
        <v>165</v>
      </c>
      <c r="L211" s="159" t="s">
        <v>166</v>
      </c>
      <c r="M211" s="160" t="s">
        <v>167</v>
      </c>
      <c r="N211" s="342"/>
    </row>
    <row r="212" spans="2:14" ht="20.100000000000001" customHeight="1" x14ac:dyDescent="0.3">
      <c r="B212" s="307"/>
      <c r="C212" s="308"/>
      <c r="D212" s="147"/>
      <c r="E212" s="175"/>
      <c r="F212" s="175"/>
      <c r="G212" s="175"/>
      <c r="H212" s="175"/>
      <c r="I212" s="175"/>
      <c r="J212" s="175"/>
      <c r="K212" s="175"/>
      <c r="L212" s="175"/>
      <c r="M212" s="176"/>
      <c r="N212" s="342"/>
    </row>
    <row r="213" spans="2:14" ht="20.100000000000001" customHeight="1" x14ac:dyDescent="0.3">
      <c r="B213" s="307"/>
      <c r="C213" s="308"/>
      <c r="D213" s="147"/>
      <c r="E213" s="175"/>
      <c r="F213" s="175"/>
      <c r="G213" s="175"/>
      <c r="H213" s="175"/>
      <c r="I213" s="175"/>
      <c r="J213" s="175"/>
      <c r="K213" s="175"/>
      <c r="L213" s="175"/>
      <c r="M213" s="176"/>
      <c r="N213" s="342"/>
    </row>
    <row r="214" spans="2:14" ht="20.100000000000001" customHeight="1" x14ac:dyDescent="0.3">
      <c r="B214" s="307"/>
      <c r="C214" s="308"/>
      <c r="D214" s="147"/>
      <c r="E214" s="175"/>
      <c r="F214" s="175"/>
      <c r="G214" s="175"/>
      <c r="H214" s="175"/>
      <c r="I214" s="175"/>
      <c r="J214" s="175"/>
      <c r="K214" s="175"/>
      <c r="L214" s="175"/>
      <c r="M214" s="176"/>
      <c r="N214" s="342"/>
    </row>
    <row r="215" spans="2:14" ht="20.100000000000001" customHeight="1" x14ac:dyDescent="0.3">
      <c r="B215" s="344"/>
      <c r="C215" s="345"/>
      <c r="D215" s="147"/>
      <c r="E215" s="147"/>
      <c r="F215" s="147"/>
      <c r="G215" s="147"/>
      <c r="H215" s="147"/>
      <c r="I215" s="147"/>
      <c r="J215" s="147"/>
      <c r="K215" s="147"/>
      <c r="L215" s="147"/>
      <c r="M215" s="154"/>
      <c r="N215" s="342"/>
    </row>
    <row r="216" spans="2:14" ht="20.100000000000001" customHeight="1" thickBot="1" x14ac:dyDescent="0.35">
      <c r="B216" s="339" t="s">
        <v>200</v>
      </c>
      <c r="C216" s="340"/>
      <c r="D216" s="170">
        <f t="shared" ref="D216:M216" si="10">SUM(D212:D215)</f>
        <v>0</v>
      </c>
      <c r="E216" s="170">
        <f t="shared" si="10"/>
        <v>0</v>
      </c>
      <c r="F216" s="170">
        <f t="shared" si="10"/>
        <v>0</v>
      </c>
      <c r="G216" s="170">
        <f t="shared" si="10"/>
        <v>0</v>
      </c>
      <c r="H216" s="170">
        <f t="shared" si="10"/>
        <v>0</v>
      </c>
      <c r="I216" s="170">
        <f t="shared" si="10"/>
        <v>0</v>
      </c>
      <c r="J216" s="170">
        <f t="shared" si="10"/>
        <v>0</v>
      </c>
      <c r="K216" s="170">
        <f t="shared" si="10"/>
        <v>0</v>
      </c>
      <c r="L216" s="170">
        <f t="shared" si="10"/>
        <v>0</v>
      </c>
      <c r="M216" s="170">
        <f t="shared" si="10"/>
        <v>0</v>
      </c>
      <c r="N216" s="342"/>
    </row>
    <row r="217" spans="2:14" ht="14.4" thickBot="1" x14ac:dyDescent="0.35"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342"/>
    </row>
    <row r="218" spans="2:14" ht="20.100000000000001" customHeight="1" thickBot="1" x14ac:dyDescent="0.35">
      <c r="B218" s="325" t="s">
        <v>202</v>
      </c>
      <c r="C218" s="326"/>
      <c r="D218" s="326"/>
      <c r="E218" s="327"/>
      <c r="F218" s="167">
        <f>D216+E216+F216+G216+H216+I216+J216+K216+L216</f>
        <v>0</v>
      </c>
      <c r="G218" s="182"/>
      <c r="H218" s="182"/>
      <c r="I218" s="182"/>
      <c r="J218" s="182"/>
      <c r="K218" s="182"/>
      <c r="L218" s="182"/>
      <c r="M218" s="182"/>
      <c r="N218" s="342"/>
    </row>
    <row r="219" spans="2:14" ht="20.100000000000001" customHeight="1" thickBot="1" x14ac:dyDescent="0.35">
      <c r="B219" s="328" t="s">
        <v>203</v>
      </c>
      <c r="C219" s="329"/>
      <c r="D219" s="329"/>
      <c r="E219" s="330"/>
      <c r="F219" s="168">
        <v>4</v>
      </c>
      <c r="G219" s="182"/>
      <c r="H219" s="182"/>
      <c r="I219" s="182"/>
      <c r="J219" s="182"/>
      <c r="K219" s="182"/>
      <c r="L219" s="182"/>
      <c r="M219" s="182"/>
      <c r="N219" s="342"/>
    </row>
    <row r="220" spans="2:14" ht="20.100000000000001" customHeight="1" thickBot="1" x14ac:dyDescent="0.35">
      <c r="B220" s="331" t="s">
        <v>201</v>
      </c>
      <c r="C220" s="332"/>
      <c r="D220" s="332"/>
      <c r="E220" s="333"/>
      <c r="F220" s="169">
        <f>F219-F218</f>
        <v>4</v>
      </c>
      <c r="G220" s="182"/>
      <c r="H220" s="182"/>
      <c r="I220" s="182"/>
      <c r="J220" s="182"/>
      <c r="K220" s="182"/>
      <c r="L220" s="182"/>
      <c r="M220" s="182"/>
      <c r="N220" s="342"/>
    </row>
    <row r="221" spans="2:14" x14ac:dyDescent="0.3">
      <c r="B221" s="341"/>
      <c r="C221" s="342"/>
      <c r="D221" s="342"/>
      <c r="E221" s="342"/>
      <c r="F221" s="342"/>
      <c r="G221" s="342"/>
      <c r="H221" s="342"/>
      <c r="I221" s="342"/>
      <c r="J221" s="342"/>
      <c r="K221" s="342"/>
      <c r="L221" s="342"/>
      <c r="M221" s="341"/>
      <c r="N221" s="342"/>
    </row>
    <row r="222" spans="2:14" x14ac:dyDescent="0.3">
      <c r="B222" s="342"/>
      <c r="C222" s="342"/>
      <c r="D222" s="342"/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</row>
    <row r="223" spans="2:14" ht="14.4" thickBot="1" x14ac:dyDescent="0.35">
      <c r="B223" s="343"/>
      <c r="C223" s="343"/>
      <c r="D223" s="343"/>
      <c r="E223" s="343"/>
      <c r="F223" s="343"/>
      <c r="G223" s="343"/>
      <c r="H223" s="343"/>
      <c r="I223" s="343"/>
      <c r="J223" s="343"/>
      <c r="K223" s="343"/>
      <c r="L223" s="343"/>
      <c r="M223" s="342"/>
      <c r="N223" s="342"/>
    </row>
    <row r="224" spans="2:14" ht="20.100000000000001" customHeight="1" thickBot="1" x14ac:dyDescent="0.35">
      <c r="B224" s="318" t="s">
        <v>15</v>
      </c>
      <c r="C224" s="319"/>
      <c r="D224" s="320">
        <v>2025</v>
      </c>
      <c r="E224" s="321"/>
      <c r="F224" s="321"/>
      <c r="G224" s="321"/>
      <c r="H224" s="321"/>
      <c r="I224" s="321"/>
      <c r="J224" s="321"/>
      <c r="K224" s="321"/>
      <c r="L224" s="322"/>
      <c r="M224" s="342"/>
      <c r="N224" s="342"/>
    </row>
    <row r="225" spans="2:14" ht="20.100000000000001" customHeight="1" x14ac:dyDescent="0.3">
      <c r="B225" s="157" t="s">
        <v>157</v>
      </c>
      <c r="C225" s="158" t="s">
        <v>158</v>
      </c>
      <c r="D225" s="159" t="s">
        <v>159</v>
      </c>
      <c r="E225" s="159" t="s">
        <v>160</v>
      </c>
      <c r="F225" s="159" t="s">
        <v>161</v>
      </c>
      <c r="G225" s="159" t="s">
        <v>162</v>
      </c>
      <c r="H225" s="159" t="s">
        <v>163</v>
      </c>
      <c r="I225" s="159" t="s">
        <v>164</v>
      </c>
      <c r="J225" s="159" t="s">
        <v>165</v>
      </c>
      <c r="K225" s="159" t="s">
        <v>166</v>
      </c>
      <c r="L225" s="160" t="s">
        <v>167</v>
      </c>
      <c r="M225" s="342"/>
      <c r="N225" s="342"/>
    </row>
    <row r="226" spans="2:14" s="142" customFormat="1" ht="20.100000000000001" customHeight="1" x14ac:dyDescent="0.3">
      <c r="B226" s="153" t="s">
        <v>94</v>
      </c>
      <c r="C226" s="146">
        <f>COUNTIFS(B1:B154,"3.2. Promocija STEM područja kroz održavanje radionica s djecom i učenicima",G1:G154,"Marko Rajić")</f>
        <v>12</v>
      </c>
      <c r="D226" s="147">
        <f>COUNTIFS(B1:B154,"3.2. Promocija STEM područja kroz održavanje radionica s djecom i učenicima",
          G1:G154,"Marko Rajić",
          J1:J154,"&gt;=01.04.2025",
          J1:J154,"&lt;=30.04.2025")</f>
        <v>5</v>
      </c>
      <c r="E226" s="147">
        <f>COUNTIFS(B1:B154,"3.2. Promocija STEM područja kroz održavanje radionica s djecom i učenicima",
         G1:G154,"Marko Rajić",
         J1:J154,"&gt;=01.05.2025",
         J1:J154,"&lt;=31.05.2025")</f>
        <v>7</v>
      </c>
      <c r="F226" s="147">
        <f>COUNTIFS(B1:B154,"3.2. Promocija STEM područja kroz održavanje radionica s djecom i učenicima",
         G1:G154,"Marko Rajić",
         J1:J154,"&gt;=01.06.2025",
         J1:J154,"&lt;=30.06.2025")</f>
        <v>0</v>
      </c>
      <c r="G226" s="147">
        <f>COUNTIFS(B1:B154,"3.2. Promocija STEM područja kroz održavanje radionica s djecom i učenicima",
         G1:G154,"Marko Rajić",
         J1:J154,"&gt;=01.07.2025",
         J1:J154,"&lt;=31.07.2025")</f>
        <v>0</v>
      </c>
      <c r="H226" s="147">
        <f>COUNTIFS(B1:B154,"3.2. Promocija STEM područja kroz održavanje radionica s djecom i učenicima",
         G1:G154,"Marko Rajić",
         J1:J154,"&gt;=01.08.2025",
         J1:J154,"&lt;=31.08.2025")</f>
        <v>0</v>
      </c>
      <c r="I226" s="147">
        <f>COUNTIFS(B1:B154,"3.2. Promocija STEM područja kroz održavanje radionica s djecom i učenicima",
         G1:G154,"Marko Rajić",
         J1:J154,"&gt;=01.09.2025",
         J1:J154,"&lt;=30.09.2025")</f>
        <v>0</v>
      </c>
      <c r="J226" s="147">
        <f>COUNTIFS(B1:B154,"3.2. Promocija STEM područja kroz održavanje radionica s djecom i učenicima",
         G1:G154,"Marko Rajić",
         J1:J154,"&gt;=01.10.2025",
         J1:J154,"&lt;=31.10.2025")</f>
        <v>0</v>
      </c>
      <c r="K226" s="147">
        <f>COUNTIFS(B1:B154,"3.2. Promocija STEM područja kroz održavanje radionica s djecom i učenicima",
         G1:G154,"Marko Rajić",
         J1:J154,"&gt;=01.11.2025",
         J1:J154,"&lt;=30.11.2025")</f>
        <v>0</v>
      </c>
      <c r="L226" s="154">
        <f>COUNTIFS(B1:B154,"3.2. Promocija STEM područja kroz održavanje radionica s djecom i učenicima",
         G1:G154,"Marko Rajić",
         J1:J154,"&gt;=01.12.2025",
         J1:J154,"&lt;=31.12.2025")</f>
        <v>0</v>
      </c>
      <c r="M226" s="342"/>
      <c r="N226" s="342"/>
    </row>
    <row r="227" spans="2:14" s="142" customFormat="1" ht="20.100000000000001" customHeight="1" x14ac:dyDescent="0.3">
      <c r="B227" s="153" t="s">
        <v>93</v>
      </c>
      <c r="C227" s="146">
        <f>COUNTIFS(B1:B154,"3.2. Promocija STEM područja kroz održavanje radionica s djecom i učenicima",G1:G154,"Maja Husar")</f>
        <v>11</v>
      </c>
      <c r="D227" s="147">
        <f>COUNTIFS(B1:B154,"3.2. Promocija STEM područja kroz održavanje radionica s djecom i učenicima",
          G1:G154,"Maja Husar",
          J1:J154,"&gt;=01.04.2025",
          J1:J154,"&lt;=30.04.2025")</f>
        <v>5</v>
      </c>
      <c r="E227" s="147">
        <f>COUNTIFS(B1:B154,"3.2. Promocija STEM područja kroz održavanje radionica s djecom i učenicima",
         G1:G154,"Maja Husar",
         J1:J154,"&gt;=01.05.2025",
         J1:J154,"&lt;=31.05.2025")</f>
        <v>5</v>
      </c>
      <c r="F227" s="147">
        <f>COUNTIFS(B1:B154,"3.2. Promocija STEM područja kroz održavanje radionica s djecom i učenicima",
         G1:G154,"Maja Husar",
         J1:J154,"&gt;=01.06.2025",
         J1:J154,"&lt;=30.06.2025")</f>
        <v>0</v>
      </c>
      <c r="G227" s="147">
        <f>COUNTIFS(B1:B154,"3.2. Promocija STEM područja kroz održavanje radionica s djecom i učenicima",
         G1:G154,"Maja Husar",
         J1:J154,"&gt;=01.07.2025",
         J1:J154,"&lt;=31.07.2025")</f>
        <v>0</v>
      </c>
      <c r="H227" s="147">
        <f>COUNTIFS(B1:B154,"3.2. Promocija STEM područja kroz održavanje radionica s djecom i učenicima",
         G1:G154,"Maja Husar",
         J1:J154,"&gt;=01.08.2025",
         J1:J154,"&lt;=31.08.2025")</f>
        <v>0</v>
      </c>
      <c r="I227" s="147">
        <f>COUNTIFS(B1:B154,"3.2. Promocija STEM područja kroz održavanje radionica s djecom i učenicima",
         G1:G154,"Maja Husar",
         J1:J154,"&gt;=01.09.2025",
         J1:J154,"&lt;=30.09.2025")</f>
        <v>0</v>
      </c>
      <c r="J227" s="147">
        <f>COUNTIFS(B1:B154,"3.2. Promocija STEM područja kroz održavanje radionica s djecom i učenicima",
         G1:G154,"Maja Husar",
         J1:J154,"&gt;=01.10.2025",
         J1:J154,"&lt;=31.10.2025")</f>
        <v>0</v>
      </c>
      <c r="K227" s="147">
        <f>COUNTIFS(B1:B154,"3.2. Promocija STEM područja kroz održavanje radionica s djecom i učenicima",
         G1:G154,"Maja Husar",
         J1:J154,"&gt;=01.11.2025",
         J1:J154,"&lt;=30.11.2025")</f>
        <v>0</v>
      </c>
      <c r="L227" s="154">
        <f>COUNTIFS(B1:B154,"3.2. Promocija STEM područja kroz održavanje radionica s djecom i učenicima",
         G1:G154,"Maja Husar",
         J1:J154,"&gt;=01.12.2025",
         J1:J154,"&lt;=31.12.2025")</f>
        <v>0</v>
      </c>
      <c r="M227" s="342"/>
      <c r="N227" s="342"/>
    </row>
    <row r="228" spans="2:14" s="142" customFormat="1" ht="20.100000000000001" customHeight="1" x14ac:dyDescent="0.3">
      <c r="B228" s="153" t="s">
        <v>92</v>
      </c>
      <c r="C228" s="146">
        <f>COUNTIFS(B1:B154,"3.2. Promocija STEM područja kroz održavanje radionica s djecom i učenicima",G1:G154,"Ivana Kovač")</f>
        <v>11</v>
      </c>
      <c r="D228" s="147">
        <f>COUNTIFS(B1:B154,"3.2. Promocija STEM područja kroz održavanje radionica s djecom i učenicima",
          G1:G154,"Ivana Kovač",
          J1:J154,"&gt;=01.04.2025",
          J1:J154,"&lt;=30.04.2025")</f>
        <v>2</v>
      </c>
      <c r="E228" s="147">
        <f>COUNTIFS(B1:B154,"3.2. Promocija STEM područja kroz održavanje radionica s djecom i učenicima",
         G1:G154,"Ivana Kovač",
         J1:J154,"&gt;=01.05.2025",
         J1:J154,"&lt;=31.05.2025")</f>
        <v>9</v>
      </c>
      <c r="F228" s="147">
        <f>COUNTIFS(B1:B154,"3.2. Promocija STEM područja kroz održavanje radionica s djecom i učenicima",
         G1:G154,"Ivana Kovač",
        J1:J154,"&gt;=01.06.2025",
         J1:J154,"&lt;=30.06.2025")</f>
        <v>0</v>
      </c>
      <c r="G228" s="147">
        <f>COUNTIFS(B1:B154,"3.2. Promocija STEM područja kroz održavanje radionica s djecom i učenicima",
         G1:G154,"Ivana Kovač",
         J1:J154,"&gt;=01.07.2025",
         J1:J154,"&lt;=31.07.2025")</f>
        <v>0</v>
      </c>
      <c r="H228" s="147">
        <f>COUNTIFS(B1:B154,"3.2. Promocija STEM područja kroz održavanje radionica s djecom i učenicima",
         G1:G154,"Ivana Kovač",
         J1:J154,"&gt;=01.08.2025",
         J1:J154,"&lt;=31.08.2025")</f>
        <v>0</v>
      </c>
      <c r="I228" s="147">
        <f>COUNTIFS(B1:B154,"3.2. Promocija STEM područja kroz održavanje radionica s djecom i učenicima",
         G1:G154,"Ivana Kovač",
         J1:J154,"&gt;=01.09.2025",
         J1:J154,"&lt;=30.09.2025")</f>
        <v>0</v>
      </c>
      <c r="J228" s="147">
        <f>COUNTIFS(B1:B154,"3.2. Promocija STEM područja kroz održavanje radionica s djecom i učenicima",
         G1:G154,"Ivana Kovač",
         J1:J154,"&gt;=01.10.2025",
         J1:J154,"&lt;=31.10.2025")</f>
        <v>0</v>
      </c>
      <c r="K228" s="147">
        <f>COUNTIFS(B1:B154,"3.2. Promocija STEM područja kroz održavanje radionica s djecom i učenicima",
         G1:G154,"Ivana Kovač",
         J1:J154,"&gt;=01.11.2025",
         J1:J154,"&lt;=30.11.2025")</f>
        <v>0</v>
      </c>
      <c r="L228" s="154">
        <f>COUNTIFS(B1:B154,"3.2. Promocija STEM područja kroz održavanje radionica s djecom i učenicima",
         G1:G154,"Ivana Kovač",
         J1:J154,"&gt;=01.12.2025",
         J1:J154,"&lt;=31.12.2025")</f>
        <v>0</v>
      </c>
      <c r="M228" s="342"/>
      <c r="N228" s="342"/>
    </row>
    <row r="229" spans="2:14" s="142" customFormat="1" ht="20.100000000000001" customHeight="1" x14ac:dyDescent="0.3">
      <c r="B229" s="153" t="s">
        <v>90</v>
      </c>
      <c r="C229" s="146">
        <f>COUNTIFS(B1:B154,"3.2. Promocija STEM područja kroz održavanje radionica s djecom i učenicima",G1:G154,"Ana Čalošević")</f>
        <v>10</v>
      </c>
      <c r="D229" s="147">
        <f>COUNTIFS(B1:B154,"3.2. Promocija STEM područja kroz održavanje radionica s djecom i učenicima",
          G1:G154,"Ana Čalošević",
          J1:J154,"&gt;=01.04.2025",
          J1:J154,"&lt;=30.04.2025")</f>
        <v>4</v>
      </c>
      <c r="E229" s="147">
        <f>COUNTIFS(B1:B154,"3.2. Promocija STEM područja kroz održavanje radionica s djecom i učenicima",
         G1:G154,"Ana Čalošević",
         J1:J154,"&gt;=01.05.2025",
         J1:J154,"&lt;=31.05.2025")</f>
        <v>6</v>
      </c>
      <c r="F229" s="147">
        <f>COUNTIFS(B1:B154,"3.2. Promocija STEM područja kroz održavanje radionica s djecom i učenicima",
         G1:G154,"Ana Čalošević",
         J1:J154,"&gt;=01.06.2025",
         J1:J154,"&lt;=30.06.2025")</f>
        <v>0</v>
      </c>
      <c r="G229" s="147">
        <f>COUNTIFS(B1:B154,"3.2. Promocija STEM područja kroz održavanje radionica s djecom i učenicima",
         G1:G154,"Ana Čalošević",
         J1:J154,"&gt;=01.07.2025",
         J1:J154,"&lt;=31.07.2025")</f>
        <v>0</v>
      </c>
      <c r="H229" s="147">
        <f>COUNTIFS(B1:B154,"3.2. Promocija STEM područja kroz održavanje radionica s djecom i učenicima",
         G1:G154,"Ana Čalošević",
         J1:J154,"&gt;=01.08.2025",
         J1:J154,"&lt;=31.08.2025")</f>
        <v>0</v>
      </c>
      <c r="I229" s="147">
        <f>COUNTIFS(B1:B154,"3.2. Promocija STEM područja kroz održavanje radionica s djecom i učenicima",
         G1:G154,"Ana Čalošević",
         J1:J154,"&gt;=01.09.2025",
         J1:J154,"&lt;=30.09.2025")</f>
        <v>0</v>
      </c>
      <c r="J229" s="147">
        <f>COUNTIFS(B1:B154,"3.2. Promocija STEM područja kroz održavanje radionica s djecom i učenicima",
         G1:G154,"Ana Čalošević",
         J1:J154,"&gt;=01.10.2025",
         J1:J154,"&lt;=31.10.2025")</f>
        <v>0</v>
      </c>
      <c r="K229" s="147">
        <f>COUNTIFS(B1:B154,"3.2. Promocija STEM područja kroz održavanje radionica s djecom i učenicima",
         G1:G154,"Ana Čalošević",
         J1:J154,"&gt;=01.11.2025",
         J1:J154,"&lt;=30.11.2025")</f>
        <v>0</v>
      </c>
      <c r="L229" s="154">
        <f>COUNTIFS(B1:B154,"3.2. Promocija STEM područja kroz održavanje radionica s djecom i učenicima",
         G1:G154,"Ana Čalošević",
         J1:J154,"&gt;=01.12.2025",
         J1:J154,"&lt;=31.12.2025")</f>
        <v>0</v>
      </c>
      <c r="M229" s="342"/>
      <c r="N229" s="342"/>
    </row>
    <row r="230" spans="2:14" s="142" customFormat="1" ht="20.100000000000001" customHeight="1" x14ac:dyDescent="0.3">
      <c r="B230" s="153" t="s">
        <v>104</v>
      </c>
      <c r="C230" s="146">
        <f>COUNTIFS(B1:B154,"3.2. Promocija STEM područja kroz održavanje radionica s djecom i učenicima",G1:G154,"Zorica Mohnacki")</f>
        <v>12</v>
      </c>
      <c r="D230" s="147">
        <f>COUNTIFS(B1:B154,"3.2. Promocija STEM područja kroz održavanje radionica s djecom i učenicima",
          G1:G154,"Zorica Mohnacki",
          J1:J154,"&gt;=01.04.2025",
          J1:J154,"&lt;=30.04.2025")</f>
        <v>4</v>
      </c>
      <c r="E230" s="147">
        <f>COUNTIFS(B1:B154,"3.2. Promocija STEM područja kroz održavanje radionica s djecom i učenicima",
         G1:G154,"Zorica Mohnacki",
         J1:J154,"&gt;=01.05.2025",
         J1:J154,"&lt;=31.05.2025")</f>
        <v>7</v>
      </c>
      <c r="F230" s="147">
        <f>COUNTIFS(B1:B154,"3.2. Promocija STEM područja kroz održavanje radionica s djecom i učenicima",
         G1:G154,"Zorica Mohnacki",
         J1:J154,"&gt;=01.06.2025",
         J1:J154,"&lt;=30.06.2025")</f>
        <v>0</v>
      </c>
      <c r="G230" s="147">
        <f>COUNTIFS(B1:B154,"3.2. Promocija STEM područja kroz održavanje radionica s djecom i učenicima",
         G1:G154,"Zorica Mohnacki",
         J1:J154,"&gt;=01.07.2025",
         J1:J154,"&lt;=31.07.2025")</f>
        <v>0</v>
      </c>
      <c r="H230" s="147">
        <f>COUNTIFS(B1:B154,"3.2. Promocija STEM područja kroz održavanje radionica s djecom i učenicima",
         G1:G154,"Zorica Mohnacki",
         J1:J154,"&gt;=01.08.2025",
         J1:J154,"&lt;=31.08.2025")</f>
        <v>0</v>
      </c>
      <c r="I230" s="147">
        <f>COUNTIFS(B1:B154,"3.2. Promocija STEM područja kroz održavanje radionica s djecom i učenicima",
         G1:G154,"Zorica Mohnacki",
         J1:J154,"&gt;=01.09.2025",
         J1:J154,"&lt;=30.09.2025")</f>
        <v>0</v>
      </c>
      <c r="J230" s="147">
        <f>COUNTIFS(B1:B154,"3.2. Promocija STEM područja kroz održavanje radionica s djecom i učenicima",
         G1:G154,"Zorica Mohnacki",
         J1:J154,"&gt;=01.10.2025",
         J1:J154,"&lt;=31.10.2025")</f>
        <v>0</v>
      </c>
      <c r="K230" s="147">
        <f>COUNTIFS(B1:B154,"3.2. Promocija STEM područja kroz održavanje radionica s djecom i učenicima",
         G1:G154,"Zorica Mohnacki",
         J1:J154,"&gt;=01.11.2025",
         J1:J154,"&lt;=30.11.2025")</f>
        <v>0</v>
      </c>
      <c r="L230" s="154">
        <f>COUNTIFS(B1:B154,"3.2. Promocija STEM područja kroz održavanje radionica s djecom i učenicima",
         G1:G154,"Zorica Mohnacki",
         J1:J154,"&gt;=01.12.2025",
         J1:J154,"&lt;=31.12.2025")</f>
        <v>0</v>
      </c>
      <c r="M230" s="342"/>
      <c r="N230" s="342"/>
    </row>
    <row r="231" spans="2:14" s="142" customFormat="1" ht="20.100000000000001" customHeight="1" x14ac:dyDescent="0.3">
      <c r="B231" s="153" t="s">
        <v>103</v>
      </c>
      <c r="C231" s="146">
        <f>COUNTIFS(B1:B154,"3.2. Promocija STEM područja kroz održavanje radionica s djecom i učenicima",G1:G154,"Tatjana Tomek")</f>
        <v>11</v>
      </c>
      <c r="D231" s="147">
        <f>COUNTIFS(B1:B154,"3.2. Promocija STEM područja kroz održavanje radionica s djecom i učenicima",
          G1:G154,"Tatjana Tomek",
          J1:J154,"&gt;=01.04.2025",
          J1:J154,"&lt;=30.04.2025")</f>
        <v>3</v>
      </c>
      <c r="E231" s="147">
        <f>COUNTIFS(B1:B154,"3.2. Promocija STEM područja kroz održavanje radionica s djecom i učenicima",
         G1:G154,"Tatjana Tomek",
         J1:J154,"&gt;=01.05.2025",
         J1:J154,"&lt;=31.05.2025")</f>
        <v>8</v>
      </c>
      <c r="F231" s="147">
        <f>COUNTIFS(B1:B154,"3.2. Promocija STEM područja kroz održavanje radionica s djecom i učenicima",
         G1:G154,"Tatjana Tomek",
         J1:J154,"&gt;=01.06.2025",
         J1:J154,"&lt;=30.06.2025")</f>
        <v>0</v>
      </c>
      <c r="G231" s="147">
        <f>COUNTIFS(B1:B154,"3.2. Promocija STEM područja kroz održavanje radionica s djecom i učenicima",
         G1:G154,"Tatjana Tomek",
         J1:J154,"&gt;=01.07.2025",
         J1:J154,"&lt;=31.07.2025")</f>
        <v>0</v>
      </c>
      <c r="H231" s="147">
        <f>COUNTIFS(B1:B154,"3.2. Promocija STEM područja kroz održavanje radionica s djecom i učenicima",
         G1:G154,"Tatjana Tomek",
         J1:J154,"&gt;=01.08.2025",
         J1:J154,"&lt;=31.08.2025")</f>
        <v>0</v>
      </c>
      <c r="I231" s="147">
        <f>COUNTIFS(B1:B154,"3.2. Promocija STEM područja kroz održavanje radionica s djecom i učenicima",
         G1:G154,"Tatjana Tomek",
         J1:J154,"&gt;=01.09.2025",
         J1:J154,"&lt;=30.09.2025")</f>
        <v>0</v>
      </c>
      <c r="J231" s="147">
        <f>COUNTIFS(B1:B154,"3.2. Promocija STEM područja kroz održavanje radionica s djecom i učenicima",
         G1:G154,"Tatjana Tomek",
         J1:J154,"&gt;=01.10.2025",
         J1:J154,"&lt;=31.10.2025")</f>
        <v>0</v>
      </c>
      <c r="K231" s="147">
        <f>COUNTIFS(B1:B154,"3.2. Promocija STEM područja kroz održavanje radionica s djecom i učenicima",
         G1:G154,"Tatjana Tomek",
         J1:J154,"&gt;=01.11.2025",
         J1:J154,"&lt;=30.11.2025")</f>
        <v>0</v>
      </c>
      <c r="L231" s="154">
        <f>COUNTIFS(B1:B154,"3.2. Promocija STEM područja kroz održavanje radionica s djecom i učenicima",
         G1:G154,"Tatjana Tomek",
         J1:J154,"&gt;=01.12.2025",
         J1:J154,"&lt;=31.12.2025")</f>
        <v>0</v>
      </c>
      <c r="M231" s="342"/>
      <c r="N231" s="342"/>
    </row>
    <row r="232" spans="2:14" s="142" customFormat="1" ht="20.100000000000001" customHeight="1" x14ac:dyDescent="0.3">
      <c r="B232" s="153" t="s">
        <v>95</v>
      </c>
      <c r="C232" s="146">
        <f>COUNTIFS(B1:B154,"3.2. Promocija STEM područja kroz održavanje radionica s djecom i učenicima",G1:G154,"Nataša Mesić Muharemi")</f>
        <v>13</v>
      </c>
      <c r="D232" s="147">
        <f>COUNTIFS(B1:B154,"3.2. Promocija STEM područja kroz održavanje radionica s djecom i učenicima",
          G1:G154,"Nataša Mesić Muharemi",
          J1:J154,"&gt;=01.04.2025",
          J1:J154,"&lt;=30.04.2025")</f>
        <v>4</v>
      </c>
      <c r="E232" s="147">
        <f>COUNTIFS(B1:B154,"3.2. Promocija STEM područja kroz održavanje radionica s djecom i učenicima",
         G1:G154,"Nataša Mesić Muharemi",
         J1:J154,"&gt;=01.05.2025",
         J1:J154,"&lt;=31.05.2025")</f>
        <v>8</v>
      </c>
      <c r="F232" s="147">
        <f>COUNTIFS(B1:B154,"3.2. Promocija STEM područja kroz održavanje radionica s djecom i učenicima",
         G1:G154,"Nataša Mesić Muharemi",
         J1:J154,"&gt;=01.06.2025",
         J1:J154,"&lt;=30.06.2025")</f>
        <v>0</v>
      </c>
      <c r="G232" s="147">
        <f>COUNTIFS(B1:B154,"3.2. Promocija STEM područja kroz održavanje radionica s djecom i učenicima",
         G1:G154,"Nataša Mesić Muharemi",
         J1:J154,"&gt;=01.07.2025",
         J1:J154,"&lt;=31.07.2025")</f>
        <v>0</v>
      </c>
      <c r="H232" s="147">
        <f>COUNTIFS(B1:B154,"3.2. Promocija STEM područja kroz održavanje radionica s djecom i učenicima",
         G1:G154,"Nataša Mesić Muharemi",
         J1:J154,"&gt;=01.08.2025",
         J1:J154,"&lt;=31.08.2025")</f>
        <v>0</v>
      </c>
      <c r="I232" s="147">
        <f>COUNTIFS(B1:B154,"3.2. Promocija STEM područja kroz održavanje radionica s djecom i učenicima",
         G1:G154,"Nataša Mesić Muharemi",
         J1:J154,"&gt;=01.09.2025",
         J1:J154,"&lt;=30.09.2025")</f>
        <v>0</v>
      </c>
      <c r="J232" s="147">
        <f>COUNTIFS(B1:B154,"3.2. Promocija STEM područja kroz održavanje radionica s djecom i učenicima",
         G1:G154,"Nataša Mesić Muharemi",
         J1:J154,"&gt;=01.10.2025",
         J1:J154,"&lt;=31.10.2025")</f>
        <v>0</v>
      </c>
      <c r="K232" s="147">
        <f>COUNTIFS(B1:B154,"3.2. Promocija STEM područja kroz održavanje radionica s djecom i učenicima",
         G1:G154,"Nataša Mesić Muharemi",
         J1:J154,"&gt;=01.11.2025",
         J1:J154,"&lt;=30.11.2025")</f>
        <v>0</v>
      </c>
      <c r="L232" s="154">
        <f>COUNTIFS(B1:B154,"3.2. Promocija STEM područja kroz održavanje radionica s djecom i učenicima",
         G1:G154,"Nataša Mesić Muharemi",
         J1:J154,"&gt;=01.12.2025",
         J1:J154,"&lt;=31.12.2025")</f>
        <v>0</v>
      </c>
      <c r="M232" s="342"/>
      <c r="N232" s="342"/>
    </row>
    <row r="233" spans="2:14" s="142" customFormat="1" ht="20.100000000000001" hidden="1" customHeight="1" x14ac:dyDescent="0.3">
      <c r="B233" s="155" t="s">
        <v>168</v>
      </c>
      <c r="C233" s="148">
        <f>SUM(C226:C232)</f>
        <v>80</v>
      </c>
      <c r="D233" s="149">
        <f>SUM(D226:D232)</f>
        <v>27</v>
      </c>
      <c r="E233" s="149">
        <f>SUM(E226:E232)</f>
        <v>50</v>
      </c>
      <c r="F233" s="149"/>
      <c r="G233" s="149"/>
      <c r="H233" s="149"/>
      <c r="I233" s="149"/>
      <c r="J233" s="149"/>
      <c r="K233" s="149"/>
      <c r="L233" s="156"/>
      <c r="M233" s="342"/>
      <c r="N233" s="342"/>
    </row>
    <row r="234" spans="2:14" s="142" customFormat="1" ht="20.100000000000001" customHeight="1" x14ac:dyDescent="0.3">
      <c r="B234" s="151" t="s">
        <v>169</v>
      </c>
      <c r="C234" s="150">
        <f>COUNTIFS(B1:B154,"3.2. Promocija STEM područja kroz održavanje radionica s djecom i učenicima",F1:F154,"NaNSEN DIJALOG CENTAR")</f>
        <v>80</v>
      </c>
      <c r="D234" s="145">
        <f>COUNTIFS(B1:B154,"3.2. Promocija STEM područja kroz održavanje radionica s djecom i učenicima",
          F1:F154,"Nansen dijalog centar",
          J1:J154,"&gt;=01.04.2025",
          J1:J154,"&lt;=30.04.2025")</f>
        <v>27</v>
      </c>
      <c r="E234" s="145">
        <f>COUNTIFS(B1:B154,"3.2. Promocija STEM područja kroz održavanje radionica s djecom i učenicima",
         F1:F154,"Nansen dijalog centar",
         J1:J154,"&gt;=01.05.2025",
         J1:J154,"&lt;=31.05.2025")</f>
        <v>50</v>
      </c>
      <c r="F234" s="145"/>
      <c r="G234" s="145"/>
      <c r="H234" s="145"/>
      <c r="I234" s="145"/>
      <c r="J234" s="145"/>
      <c r="K234" s="145"/>
      <c r="L234" s="152"/>
      <c r="M234" s="342"/>
      <c r="N234" s="342"/>
    </row>
    <row r="235" spans="2:14" s="142" customFormat="1" ht="20.100000000000001" customHeight="1" x14ac:dyDescent="0.3">
      <c r="B235" s="153" t="s">
        <v>91</v>
      </c>
      <c r="C235" s="146">
        <f>COUNTIFS(B1:B154,"3.2. Promocija STEM područja kroz održavanje radionica s djecom i učenicima",G1:G154,"Marina Dokić")</f>
        <v>49</v>
      </c>
      <c r="D235" s="147">
        <f>COUNTIFS(B1:B154,"3.2. Promocija STEM područja kroz održavanje radionica s djecom i učenicima",
          G1:G154,"Marina Dokić",
          J1:J154,"&gt;=01.04.2025",
          J1:J154,"&lt;=30.04.2025")</f>
        <v>24</v>
      </c>
      <c r="E235" s="147">
        <f>COUNTIFS(B1:B154,"3.2. Promocija STEM područja kroz održavanje radionica s djecom i učenicima",
         G1:G154,"Marina Dokić",
         J1:J154,"&gt;=01.05.2025",
         J1:J154,"&lt;=31.05.2025")</f>
        <v>24</v>
      </c>
      <c r="F235" s="147">
        <f>COUNTIFS(B1:B154,"3.2. Promocija STEM područja kroz održavanje radionica s djecom i učenicima",
         G1:G154,"Marina Dokić",
         J1:J154,"&gt;=01.06.2025",
         J1:J154,"&lt;=30.06.2025")</f>
        <v>0</v>
      </c>
      <c r="G235" s="147">
        <f>COUNTIFS(B1:B154,"3.2. Promocija STEM područja kroz održavanje radionica s djecom i učenicima",
         G1:G154,"Marina Dokić",
         J1:J154,"&gt;=01.07.2025",
         J1:J154,"&lt;=31.07.2025")</f>
        <v>0</v>
      </c>
      <c r="H235" s="147">
        <f>COUNTIFS(B1:B154,"3.2. Promocija STEM područja kroz održavanje radionica s djecom i učenicima",
         G1:G154,"Marina Dokić",
         J1:J154,"&gt;=01.08.2025",
         J1:J154,"&lt;=31.08.2025")</f>
        <v>0</v>
      </c>
      <c r="I235" s="147">
        <f>COUNTIFS(B1:B154,"3.2. Promocija STEM područja kroz održavanje radionica s djecom i učenicima",
         G1:G154,"Marina Dokić",
         J1:J154,"&gt;=01.09.2025",
         J1:J154,"&lt;=30.09.2025")</f>
        <v>0</v>
      </c>
      <c r="J235" s="147">
        <f>COUNTIFS(B1:B154,"3.2. Promocija STEM područja kroz održavanje radionica s djecom i učenicima",
         G1:G154,"Marina Dokić",
         J1:J154,"&gt;=01.10.2025",
         J1:J154,"&lt;=31.10.2025")</f>
        <v>0</v>
      </c>
      <c r="K235" s="147">
        <f>COUNTIFS(B1:B154,"3.2. Promocija STEM područja kroz održavanje radionica s djecom i učenicima",
         G1:G154,"Marina Dokić",
         J1:J154,"&gt;=01.11.2025",
         J1:J154,"&lt;=30.11.2025")</f>
        <v>0</v>
      </c>
      <c r="L235" s="154">
        <f>COUNTIFS(B1:B154,"3.2. Promocija STEM područja kroz održavanje radionica s djecom i učenicima",
         G1:G154,"Marina Dokić",
         J1:J154,"&gt;=01.12.2025",
         J1:J154,"&lt;=31.12.2025")</f>
        <v>0</v>
      </c>
      <c r="M235" s="342"/>
      <c r="N235" s="342"/>
    </row>
    <row r="236" spans="2:14" s="142" customFormat="1" ht="20.100000000000001" customHeight="1" thickBot="1" x14ac:dyDescent="0.35">
      <c r="B236" s="161" t="s">
        <v>170</v>
      </c>
      <c r="C236" s="162">
        <f>COUNTIFS(B1:B154,"3.2. Promocija STEM područja kroz održavanje radionica s djecom i učenicima",F1:F154,"STEAM centar")</f>
        <v>49</v>
      </c>
      <c r="D236" s="163">
        <f>COUNTIFS(B1:B154,"3.2. Promocija STEM područja kroz održavanje radionica s djecom i učenicima",
          F1:F154,"STEAM centar",
          J1:J154,"&gt;=01.04.2025",
          J1:J154,"&lt;=30.04.2025")</f>
        <v>24</v>
      </c>
      <c r="E236" s="163">
        <f>COUNTIFS(B1:B154,"3.2. Promocija STEM područja kroz održavanje radionica s djecom i učenicima",
         F1:F154,"STEAM centar",
         J1:J154,"&gt;=01.05.2025",
         J1:J154,"&lt;=31.05.2025")</f>
        <v>24</v>
      </c>
      <c r="F236" s="163"/>
      <c r="G236" s="163"/>
      <c r="H236" s="163"/>
      <c r="I236" s="163"/>
      <c r="J236" s="163"/>
      <c r="K236" s="163"/>
      <c r="L236" s="164"/>
      <c r="M236" s="342"/>
      <c r="N236" s="342"/>
    </row>
    <row r="237" spans="2:14" s="142" customFormat="1" ht="20.100000000000001" customHeight="1" thickBot="1" x14ac:dyDescent="0.35">
      <c r="B237" s="323" t="s">
        <v>171</v>
      </c>
      <c r="C237" s="324"/>
      <c r="D237" s="165">
        <f>D234+D236</f>
        <v>51</v>
      </c>
      <c r="E237" s="165">
        <f t="shared" ref="E237:L237" si="11">E234+E236</f>
        <v>74</v>
      </c>
      <c r="F237" s="165">
        <f t="shared" si="11"/>
        <v>0</v>
      </c>
      <c r="G237" s="165">
        <f t="shared" si="11"/>
        <v>0</v>
      </c>
      <c r="H237" s="165">
        <f t="shared" si="11"/>
        <v>0</v>
      </c>
      <c r="I237" s="165">
        <f>I234+I236</f>
        <v>0</v>
      </c>
      <c r="J237" s="165">
        <f t="shared" si="11"/>
        <v>0</v>
      </c>
      <c r="K237" s="165">
        <f t="shared" si="11"/>
        <v>0</v>
      </c>
      <c r="L237" s="166">
        <f t="shared" si="11"/>
        <v>0</v>
      </c>
      <c r="M237" s="342"/>
      <c r="N237" s="342"/>
    </row>
    <row r="238" spans="2:14" s="142" customFormat="1" ht="15" customHeight="1" thickBot="1" x14ac:dyDescent="0.35">
      <c r="B238" s="183"/>
      <c r="C238" s="184"/>
      <c r="D238" s="185"/>
      <c r="E238" s="185"/>
      <c r="F238" s="186"/>
      <c r="G238" s="187"/>
      <c r="H238" s="187"/>
      <c r="I238" s="187"/>
      <c r="J238" s="187"/>
      <c r="K238" s="187"/>
      <c r="L238" s="187"/>
      <c r="M238" s="342"/>
      <c r="N238" s="342"/>
    </row>
    <row r="239" spans="2:14" ht="20.100000000000001" customHeight="1" thickBot="1" x14ac:dyDescent="0.35">
      <c r="B239" s="309" t="s">
        <v>205</v>
      </c>
      <c r="C239" s="310"/>
      <c r="D239" s="310"/>
      <c r="E239" s="311"/>
      <c r="F239" s="167">
        <f>C234+C236</f>
        <v>129</v>
      </c>
      <c r="G239" s="182"/>
      <c r="H239" s="182"/>
      <c r="I239" s="182"/>
      <c r="J239" s="182"/>
      <c r="K239" s="182"/>
      <c r="L239" s="182"/>
      <c r="M239" s="342"/>
      <c r="N239" s="342"/>
    </row>
    <row r="240" spans="2:14" ht="20.100000000000001" customHeight="1" thickBot="1" x14ac:dyDescent="0.35">
      <c r="B240" s="312" t="s">
        <v>204</v>
      </c>
      <c r="C240" s="313"/>
      <c r="D240" s="313"/>
      <c r="E240" s="314"/>
      <c r="F240" s="168">
        <f>(1170/36)*12</f>
        <v>390</v>
      </c>
      <c r="G240" s="182"/>
      <c r="H240" s="182"/>
      <c r="I240" s="182"/>
      <c r="J240" s="182"/>
      <c r="K240" s="182"/>
      <c r="L240" s="182"/>
      <c r="M240" s="342"/>
      <c r="N240" s="342"/>
    </row>
    <row r="241" spans="2:14" ht="20.100000000000001" customHeight="1" thickBot="1" x14ac:dyDescent="0.35">
      <c r="B241" s="315" t="s">
        <v>206</v>
      </c>
      <c r="C241" s="316"/>
      <c r="D241" s="316"/>
      <c r="E241" s="317"/>
      <c r="F241" s="169">
        <f>F240-F239</f>
        <v>261</v>
      </c>
      <c r="G241" s="182"/>
      <c r="H241" s="182"/>
      <c r="I241" s="182"/>
      <c r="J241" s="182"/>
      <c r="K241" s="182"/>
      <c r="L241" s="182"/>
      <c r="M241" s="342"/>
      <c r="N241" s="342"/>
    </row>
    <row r="242" spans="2:14" x14ac:dyDescent="0.3">
      <c r="B242" s="341"/>
      <c r="C242" s="342"/>
      <c r="D242" s="342"/>
      <c r="E242" s="342"/>
      <c r="F242" s="342"/>
      <c r="G242" s="342"/>
      <c r="H242" s="342"/>
      <c r="I242" s="342"/>
      <c r="J242" s="342"/>
      <c r="K242" s="342"/>
      <c r="L242" s="342"/>
      <c r="M242" s="342"/>
      <c r="N242" s="342"/>
    </row>
    <row r="243" spans="2:14" x14ac:dyDescent="0.3">
      <c r="B243" s="342"/>
      <c r="C243" s="342"/>
      <c r="D243" s="342"/>
      <c r="E243" s="342"/>
      <c r="F243" s="342"/>
      <c r="G243" s="342"/>
      <c r="H243" s="342"/>
      <c r="I243" s="342"/>
      <c r="J243" s="342"/>
      <c r="K243" s="342"/>
      <c r="L243" s="342"/>
      <c r="M243" s="342"/>
      <c r="N243" s="342"/>
    </row>
    <row r="244" spans="2:14" ht="14.4" thickBot="1" x14ac:dyDescent="0.35">
      <c r="B244" s="342"/>
      <c r="C244" s="342"/>
      <c r="D244" s="342"/>
      <c r="E244" s="342"/>
      <c r="F244" s="342"/>
      <c r="G244" s="342"/>
      <c r="H244" s="342"/>
      <c r="I244" s="342"/>
      <c r="J244" s="342"/>
      <c r="K244" s="342"/>
      <c r="L244" s="342"/>
      <c r="M244" s="342"/>
      <c r="N244" s="342"/>
    </row>
    <row r="245" spans="2:14" ht="30" customHeight="1" thickBot="1" x14ac:dyDescent="0.35">
      <c r="B245" s="334" t="s">
        <v>17</v>
      </c>
      <c r="C245" s="335"/>
      <c r="D245" s="336">
        <v>2025</v>
      </c>
      <c r="E245" s="337"/>
      <c r="F245" s="337"/>
      <c r="G245" s="337"/>
      <c r="H245" s="337"/>
      <c r="I245" s="337"/>
      <c r="J245" s="337"/>
      <c r="K245" s="337"/>
      <c r="L245" s="338"/>
      <c r="M245" s="342"/>
      <c r="N245" s="342"/>
    </row>
    <row r="246" spans="2:14" ht="20.100000000000001" customHeight="1" x14ac:dyDescent="0.3">
      <c r="B246" s="305" t="s">
        <v>215</v>
      </c>
      <c r="C246" s="306"/>
      <c r="D246" s="159" t="s">
        <v>159</v>
      </c>
      <c r="E246" s="159" t="s">
        <v>160</v>
      </c>
      <c r="F246" s="159" t="s">
        <v>161</v>
      </c>
      <c r="G246" s="159" t="s">
        <v>162</v>
      </c>
      <c r="H246" s="159" t="s">
        <v>163</v>
      </c>
      <c r="I246" s="159" t="s">
        <v>164</v>
      </c>
      <c r="J246" s="159" t="s">
        <v>165</v>
      </c>
      <c r="K246" s="159" t="s">
        <v>166</v>
      </c>
      <c r="L246" s="160" t="s">
        <v>167</v>
      </c>
      <c r="M246" s="342"/>
      <c r="N246" s="342"/>
    </row>
    <row r="247" spans="2:14" ht="20.100000000000001" customHeight="1" x14ac:dyDescent="0.3">
      <c r="B247" s="307"/>
      <c r="C247" s="308"/>
      <c r="D247" s="175"/>
      <c r="E247" s="175"/>
      <c r="F247" s="175"/>
      <c r="G247" s="175"/>
      <c r="H247" s="175"/>
      <c r="I247" s="175"/>
      <c r="J247" s="175"/>
      <c r="K247" s="175"/>
      <c r="L247" s="176"/>
      <c r="M247" s="342"/>
      <c r="N247" s="342"/>
    </row>
    <row r="248" spans="2:14" ht="20.100000000000001" customHeight="1" x14ac:dyDescent="0.3">
      <c r="B248" s="307"/>
      <c r="C248" s="308"/>
      <c r="D248" s="175"/>
      <c r="E248" s="175"/>
      <c r="F248" s="175"/>
      <c r="G248" s="175"/>
      <c r="H248" s="175"/>
      <c r="I248" s="175"/>
      <c r="J248" s="175"/>
      <c r="K248" s="175"/>
      <c r="L248" s="176"/>
      <c r="M248" s="342"/>
      <c r="N248" s="342"/>
    </row>
    <row r="249" spans="2:14" ht="20.100000000000001" customHeight="1" x14ac:dyDescent="0.3">
      <c r="B249" s="307"/>
      <c r="C249" s="308"/>
      <c r="D249" s="175"/>
      <c r="E249" s="175"/>
      <c r="F249" s="175"/>
      <c r="G249" s="175"/>
      <c r="H249" s="175"/>
      <c r="I249" s="175"/>
      <c r="J249" s="175"/>
      <c r="K249" s="175"/>
      <c r="L249" s="176"/>
      <c r="M249" s="342"/>
      <c r="N249" s="342"/>
    </row>
    <row r="250" spans="2:14" ht="20.100000000000001" customHeight="1" x14ac:dyDescent="0.3">
      <c r="B250" s="349"/>
      <c r="C250" s="345"/>
      <c r="D250" s="175"/>
      <c r="E250" s="175"/>
      <c r="F250" s="175"/>
      <c r="G250" s="175"/>
      <c r="H250" s="175"/>
      <c r="I250" s="175"/>
      <c r="J250" s="175"/>
      <c r="K250" s="175"/>
      <c r="L250" s="176"/>
      <c r="M250" s="342"/>
      <c r="N250" s="342"/>
    </row>
    <row r="251" spans="2:14" ht="20.100000000000001" customHeight="1" x14ac:dyDescent="0.3">
      <c r="B251" s="349"/>
      <c r="C251" s="345"/>
      <c r="D251" s="175"/>
      <c r="E251" s="175"/>
      <c r="F251" s="175"/>
      <c r="G251" s="175"/>
      <c r="H251" s="175"/>
      <c r="I251" s="175"/>
      <c r="J251" s="175"/>
      <c r="K251" s="175"/>
      <c r="L251" s="176"/>
      <c r="M251" s="342"/>
      <c r="N251" s="342"/>
    </row>
    <row r="252" spans="2:14" ht="20.100000000000001" customHeight="1" x14ac:dyDescent="0.3">
      <c r="B252" s="349"/>
      <c r="C252" s="345"/>
      <c r="D252" s="175"/>
      <c r="E252" s="175"/>
      <c r="F252" s="175"/>
      <c r="G252" s="175"/>
      <c r="H252" s="175"/>
      <c r="I252" s="175"/>
      <c r="J252" s="175"/>
      <c r="K252" s="175"/>
      <c r="L252" s="176"/>
      <c r="M252" s="342"/>
      <c r="N252" s="342"/>
    </row>
    <row r="253" spans="2:14" ht="20.100000000000001" customHeight="1" x14ac:dyDescent="0.3">
      <c r="B253" s="349"/>
      <c r="C253" s="345"/>
      <c r="D253" s="175"/>
      <c r="E253" s="175"/>
      <c r="F253" s="175"/>
      <c r="G253" s="175"/>
      <c r="H253" s="175"/>
      <c r="I253" s="175"/>
      <c r="J253" s="175"/>
      <c r="K253" s="175"/>
      <c r="L253" s="176"/>
      <c r="M253" s="342"/>
      <c r="N253" s="342"/>
    </row>
    <row r="254" spans="2:14" ht="20.100000000000001" customHeight="1" x14ac:dyDescent="0.3">
      <c r="B254" s="349"/>
      <c r="C254" s="345"/>
      <c r="D254" s="175"/>
      <c r="E254" s="175"/>
      <c r="F254" s="175"/>
      <c r="G254" s="175"/>
      <c r="H254" s="175"/>
      <c r="I254" s="175"/>
      <c r="J254" s="175"/>
      <c r="K254" s="175"/>
      <c r="L254" s="176"/>
      <c r="M254" s="342"/>
      <c r="N254" s="342"/>
    </row>
    <row r="255" spans="2:14" ht="20.100000000000001" customHeight="1" x14ac:dyDescent="0.3">
      <c r="B255" s="349"/>
      <c r="C255" s="345"/>
      <c r="D255" s="175"/>
      <c r="E255" s="175"/>
      <c r="F255" s="175"/>
      <c r="G255" s="175"/>
      <c r="H255" s="175"/>
      <c r="I255" s="175"/>
      <c r="J255" s="175"/>
      <c r="K255" s="175"/>
      <c r="L255" s="176"/>
      <c r="M255" s="342"/>
      <c r="N255" s="342"/>
    </row>
    <row r="256" spans="2:14" ht="20.100000000000001" customHeight="1" x14ac:dyDescent="0.3">
      <c r="B256" s="349"/>
      <c r="C256" s="345"/>
      <c r="D256" s="175"/>
      <c r="E256" s="175"/>
      <c r="F256" s="175"/>
      <c r="G256" s="175"/>
      <c r="H256" s="175"/>
      <c r="I256" s="175"/>
      <c r="J256" s="175"/>
      <c r="K256" s="175"/>
      <c r="L256" s="176"/>
      <c r="M256" s="342"/>
      <c r="N256" s="342"/>
    </row>
    <row r="257" spans="2:15" ht="20.100000000000001" customHeight="1" x14ac:dyDescent="0.3">
      <c r="B257" s="349"/>
      <c r="C257" s="345"/>
      <c r="D257" s="175"/>
      <c r="E257" s="175"/>
      <c r="F257" s="175"/>
      <c r="G257" s="175"/>
      <c r="H257" s="175"/>
      <c r="I257" s="175"/>
      <c r="J257" s="175"/>
      <c r="K257" s="175"/>
      <c r="L257" s="176"/>
      <c r="M257" s="342"/>
      <c r="N257" s="342"/>
    </row>
    <row r="258" spans="2:15" ht="20.100000000000001" customHeight="1" x14ac:dyDescent="0.3">
      <c r="B258" s="344"/>
      <c r="C258" s="345"/>
      <c r="D258" s="147"/>
      <c r="E258" s="147"/>
      <c r="F258" s="147"/>
      <c r="G258" s="147"/>
      <c r="H258" s="147"/>
      <c r="I258" s="147"/>
      <c r="J258" s="147"/>
      <c r="K258" s="147"/>
      <c r="L258" s="154"/>
      <c r="M258" s="342"/>
      <c r="N258" s="342"/>
    </row>
    <row r="259" spans="2:15" ht="20.100000000000001" customHeight="1" thickBot="1" x14ac:dyDescent="0.35">
      <c r="B259" s="339" t="s">
        <v>211</v>
      </c>
      <c r="C259" s="340"/>
      <c r="D259" s="170">
        <f t="shared" ref="D259:L259" si="12">SUM(D247:D258)</f>
        <v>0</v>
      </c>
      <c r="E259" s="170">
        <f t="shared" si="12"/>
        <v>0</v>
      </c>
      <c r="F259" s="170">
        <f t="shared" si="12"/>
        <v>0</v>
      </c>
      <c r="G259" s="170">
        <f t="shared" si="12"/>
        <v>0</v>
      </c>
      <c r="H259" s="170">
        <f t="shared" si="12"/>
        <v>0</v>
      </c>
      <c r="I259" s="170">
        <f t="shared" si="12"/>
        <v>0</v>
      </c>
      <c r="J259" s="170">
        <f t="shared" si="12"/>
        <v>0</v>
      </c>
      <c r="K259" s="170">
        <f t="shared" si="12"/>
        <v>0</v>
      </c>
      <c r="L259" s="170">
        <f t="shared" si="12"/>
        <v>0</v>
      </c>
      <c r="M259" s="342"/>
      <c r="N259" s="342"/>
    </row>
    <row r="260" spans="2:15" ht="15" customHeight="1" thickBot="1" x14ac:dyDescent="0.35"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342"/>
      <c r="N260" s="342"/>
    </row>
    <row r="261" spans="2:15" ht="20.100000000000001" customHeight="1" thickBot="1" x14ac:dyDescent="0.35">
      <c r="B261" s="325" t="s">
        <v>212</v>
      </c>
      <c r="C261" s="326"/>
      <c r="D261" s="326"/>
      <c r="E261" s="327"/>
      <c r="F261" s="167">
        <f>D259+E259+F259+G259+H259+I259+J259+K259+L259</f>
        <v>0</v>
      </c>
      <c r="G261" s="182"/>
      <c r="H261" s="182"/>
      <c r="I261" s="182"/>
      <c r="J261" s="182"/>
      <c r="K261" s="182"/>
      <c r="L261" s="182"/>
      <c r="M261" s="342"/>
      <c r="N261" s="342"/>
    </row>
    <row r="262" spans="2:15" ht="20.100000000000001" customHeight="1" thickBot="1" x14ac:dyDescent="0.35">
      <c r="B262" s="328" t="s">
        <v>213</v>
      </c>
      <c r="C262" s="329"/>
      <c r="D262" s="329"/>
      <c r="E262" s="330"/>
      <c r="F262" s="168">
        <v>12</v>
      </c>
      <c r="G262" s="182"/>
      <c r="H262" s="182"/>
      <c r="I262" s="182"/>
      <c r="J262" s="182"/>
      <c r="K262" s="182"/>
      <c r="L262" s="182"/>
      <c r="M262" s="342"/>
      <c r="N262" s="342"/>
    </row>
    <row r="263" spans="2:15" ht="20.100000000000001" customHeight="1" thickBot="1" x14ac:dyDescent="0.35">
      <c r="B263" s="331" t="s">
        <v>214</v>
      </c>
      <c r="C263" s="332"/>
      <c r="D263" s="332"/>
      <c r="E263" s="333"/>
      <c r="F263" s="169">
        <f>F262-F261</f>
        <v>12</v>
      </c>
      <c r="G263" s="182"/>
      <c r="H263" s="182"/>
      <c r="I263" s="182"/>
      <c r="J263" s="182"/>
      <c r="K263" s="182"/>
      <c r="L263" s="182"/>
      <c r="M263" s="342"/>
      <c r="N263" s="342"/>
    </row>
    <row r="264" spans="2:15" x14ac:dyDescent="0.3">
      <c r="B264" s="341"/>
      <c r="C264" s="342"/>
      <c r="D264" s="342"/>
      <c r="E264" s="342"/>
      <c r="F264" s="342"/>
      <c r="G264" s="342"/>
      <c r="H264" s="342"/>
      <c r="I264" s="342"/>
      <c r="J264" s="342"/>
      <c r="K264" s="342"/>
      <c r="L264" s="342"/>
      <c r="M264" s="342"/>
      <c r="N264" s="341"/>
    </row>
    <row r="265" spans="2:15" x14ac:dyDescent="0.3">
      <c r="B265" s="342"/>
      <c r="C265" s="342"/>
      <c r="D265" s="342"/>
      <c r="E265" s="342"/>
      <c r="F265" s="342"/>
      <c r="G265" s="342"/>
      <c r="H265" s="342"/>
      <c r="I265" s="342"/>
      <c r="J265" s="342"/>
      <c r="K265" s="342"/>
      <c r="L265" s="342"/>
      <c r="M265" s="342"/>
      <c r="N265" s="342"/>
    </row>
    <row r="266" spans="2:15" ht="14.4" thickBot="1" x14ac:dyDescent="0.35">
      <c r="B266" s="343"/>
      <c r="C266" s="343"/>
      <c r="D266" s="343"/>
      <c r="E266" s="343"/>
      <c r="F266" s="343"/>
      <c r="G266" s="343"/>
      <c r="H266" s="343"/>
      <c r="I266" s="343"/>
      <c r="J266" s="343"/>
      <c r="K266" s="343"/>
      <c r="L266" s="343"/>
      <c r="M266" s="343"/>
      <c r="N266" s="342"/>
    </row>
    <row r="267" spans="2:15" ht="30" customHeight="1" thickBot="1" x14ac:dyDescent="0.35">
      <c r="B267" s="334" t="s">
        <v>19</v>
      </c>
      <c r="C267" s="335"/>
      <c r="D267" s="346">
        <v>2025</v>
      </c>
      <c r="E267" s="347"/>
      <c r="F267" s="347"/>
      <c r="G267" s="347"/>
      <c r="H267" s="347"/>
      <c r="I267" s="347"/>
      <c r="J267" s="347"/>
      <c r="K267" s="347"/>
      <c r="L267" s="347"/>
      <c r="M267" s="348"/>
      <c r="N267" s="343"/>
    </row>
    <row r="268" spans="2:15" ht="26.25" customHeight="1" x14ac:dyDescent="0.3">
      <c r="B268" s="350" t="s">
        <v>216</v>
      </c>
      <c r="C268" s="351"/>
      <c r="D268" s="178" t="s">
        <v>199</v>
      </c>
      <c r="E268" s="159" t="s">
        <v>159</v>
      </c>
      <c r="F268" s="159" t="s">
        <v>160</v>
      </c>
      <c r="G268" s="159" t="s">
        <v>161</v>
      </c>
      <c r="H268" s="159" t="s">
        <v>162</v>
      </c>
      <c r="I268" s="159" t="s">
        <v>163</v>
      </c>
      <c r="J268" s="159" t="s">
        <v>164</v>
      </c>
      <c r="K268" s="159" t="s">
        <v>165</v>
      </c>
      <c r="L268" s="159" t="s">
        <v>166</v>
      </c>
      <c r="M268" s="160" t="s">
        <v>167</v>
      </c>
      <c r="N268" s="352" t="s">
        <v>221</v>
      </c>
      <c r="O268" s="353"/>
    </row>
    <row r="269" spans="2:15" ht="20.100000000000001" customHeight="1" x14ac:dyDescent="0.3">
      <c r="B269" s="307"/>
      <c r="C269" s="308"/>
      <c r="D269" s="147" t="s">
        <v>242</v>
      </c>
      <c r="E269" s="175"/>
      <c r="F269" s="175"/>
      <c r="G269" s="175"/>
      <c r="H269" s="175"/>
      <c r="I269" s="175"/>
      <c r="J269" s="175"/>
      <c r="K269" s="175"/>
      <c r="L269" s="175"/>
      <c r="M269" s="176"/>
      <c r="N269" s="354"/>
      <c r="O269" s="355"/>
    </row>
    <row r="270" spans="2:15" ht="20.100000000000001" customHeight="1" x14ac:dyDescent="0.3">
      <c r="B270" s="307"/>
      <c r="C270" s="308"/>
      <c r="D270" s="147"/>
      <c r="E270" s="175"/>
      <c r="F270" s="175"/>
      <c r="G270" s="175"/>
      <c r="H270" s="175"/>
      <c r="I270" s="175"/>
      <c r="J270" s="175"/>
      <c r="K270" s="175"/>
      <c r="L270" s="175"/>
      <c r="M270" s="176"/>
      <c r="N270" s="354"/>
      <c r="O270" s="355"/>
    </row>
    <row r="271" spans="2:15" ht="20.100000000000001" customHeight="1" x14ac:dyDescent="0.3">
      <c r="B271" s="307"/>
      <c r="C271" s="308"/>
      <c r="D271" s="147"/>
      <c r="E271" s="175"/>
      <c r="F271" s="175"/>
      <c r="G271" s="175"/>
      <c r="H271" s="175"/>
      <c r="I271" s="175"/>
      <c r="J271" s="175"/>
      <c r="K271" s="175"/>
      <c r="L271" s="175"/>
      <c r="M271" s="176"/>
      <c r="N271" s="354"/>
      <c r="O271" s="355"/>
    </row>
    <row r="272" spans="2:15" ht="20.100000000000001" customHeight="1" x14ac:dyDescent="0.3">
      <c r="B272" s="307"/>
      <c r="C272" s="308"/>
      <c r="D272" s="147"/>
      <c r="E272" s="175"/>
      <c r="F272" s="175"/>
      <c r="G272" s="175"/>
      <c r="H272" s="175"/>
      <c r="I272" s="175"/>
      <c r="J272" s="175"/>
      <c r="K272" s="175"/>
      <c r="L272" s="175"/>
      <c r="M272" s="176"/>
      <c r="N272" s="354"/>
      <c r="O272" s="355"/>
    </row>
    <row r="273" spans="2:15" ht="20.100000000000001" customHeight="1" x14ac:dyDescent="0.3">
      <c r="B273" s="307"/>
      <c r="C273" s="308"/>
      <c r="D273" s="147"/>
      <c r="E273" s="175"/>
      <c r="F273" s="175"/>
      <c r="G273" s="175"/>
      <c r="H273" s="175"/>
      <c r="I273" s="175"/>
      <c r="J273" s="175"/>
      <c r="K273" s="175"/>
      <c r="L273" s="175"/>
      <c r="M273" s="176"/>
      <c r="N273" s="354"/>
      <c r="O273" s="355"/>
    </row>
    <row r="274" spans="2:15" ht="20.100000000000001" customHeight="1" x14ac:dyDescent="0.3">
      <c r="B274" s="307"/>
      <c r="C274" s="308"/>
      <c r="D274" s="147"/>
      <c r="E274" s="175"/>
      <c r="F274" s="175"/>
      <c r="G274" s="175"/>
      <c r="H274" s="175"/>
      <c r="I274" s="175"/>
      <c r="J274" s="175"/>
      <c r="K274" s="175"/>
      <c r="L274" s="175"/>
      <c r="M274" s="176"/>
      <c r="N274" s="354"/>
      <c r="O274" s="355"/>
    </row>
    <row r="275" spans="2:15" ht="20.100000000000001" customHeight="1" x14ac:dyDescent="0.3">
      <c r="B275" s="307"/>
      <c r="C275" s="308"/>
      <c r="D275" s="147"/>
      <c r="E275" s="175"/>
      <c r="F275" s="175"/>
      <c r="G275" s="175"/>
      <c r="H275" s="175"/>
      <c r="I275" s="175"/>
      <c r="J275" s="175"/>
      <c r="K275" s="175"/>
      <c r="L275" s="175"/>
      <c r="M275" s="176"/>
      <c r="N275" s="354"/>
      <c r="O275" s="355"/>
    </row>
    <row r="276" spans="2:15" ht="20.100000000000001" customHeight="1" x14ac:dyDescent="0.3">
      <c r="B276" s="307"/>
      <c r="C276" s="308"/>
      <c r="D276" s="147"/>
      <c r="E276" s="175"/>
      <c r="F276" s="175"/>
      <c r="G276" s="175"/>
      <c r="H276" s="175"/>
      <c r="I276" s="175"/>
      <c r="J276" s="175"/>
      <c r="K276" s="175"/>
      <c r="L276" s="175"/>
      <c r="M276" s="176"/>
      <c r="N276" s="354"/>
      <c r="O276" s="355"/>
    </row>
    <row r="277" spans="2:15" ht="20.100000000000001" customHeight="1" x14ac:dyDescent="0.3">
      <c r="B277" s="307"/>
      <c r="C277" s="308"/>
      <c r="D277" s="147"/>
      <c r="E277" s="175"/>
      <c r="F277" s="175"/>
      <c r="G277" s="175"/>
      <c r="H277" s="175"/>
      <c r="I277" s="175"/>
      <c r="J277" s="175"/>
      <c r="K277" s="175"/>
      <c r="L277" s="175"/>
      <c r="M277" s="176"/>
      <c r="N277" s="354"/>
      <c r="O277" s="355"/>
    </row>
    <row r="278" spans="2:15" ht="20.100000000000001" customHeight="1" x14ac:dyDescent="0.3">
      <c r="B278" s="307"/>
      <c r="C278" s="308"/>
      <c r="D278" s="147"/>
      <c r="E278" s="175"/>
      <c r="F278" s="175"/>
      <c r="G278" s="175"/>
      <c r="H278" s="175"/>
      <c r="I278" s="175"/>
      <c r="J278" s="175"/>
      <c r="K278" s="175"/>
      <c r="L278" s="175"/>
      <c r="M278" s="176"/>
      <c r="N278" s="354"/>
      <c r="O278" s="355"/>
    </row>
    <row r="279" spans="2:15" ht="20.100000000000001" customHeight="1" x14ac:dyDescent="0.3">
      <c r="B279" s="307"/>
      <c r="C279" s="308"/>
      <c r="D279" s="147"/>
      <c r="E279" s="175"/>
      <c r="F279" s="175"/>
      <c r="G279" s="175"/>
      <c r="H279" s="175"/>
      <c r="I279" s="175"/>
      <c r="J279" s="175"/>
      <c r="K279" s="175"/>
      <c r="L279" s="175"/>
      <c r="M279" s="176"/>
      <c r="N279" s="354"/>
      <c r="O279" s="355"/>
    </row>
    <row r="280" spans="2:15" ht="20.100000000000001" customHeight="1" thickBot="1" x14ac:dyDescent="0.35">
      <c r="B280" s="307"/>
      <c r="C280" s="308"/>
      <c r="D280" s="147"/>
      <c r="E280" s="175"/>
      <c r="F280" s="175"/>
      <c r="G280" s="175"/>
      <c r="H280" s="175"/>
      <c r="I280" s="175"/>
      <c r="J280" s="175"/>
      <c r="K280" s="175"/>
      <c r="L280" s="175"/>
      <c r="M280" s="176"/>
      <c r="N280" s="356"/>
      <c r="O280" s="357"/>
    </row>
    <row r="281" spans="2:15" ht="20.100000000000001" customHeight="1" x14ac:dyDescent="0.3">
      <c r="B281" s="307"/>
      <c r="C281" s="308"/>
      <c r="D281" s="147"/>
      <c r="E281" s="175"/>
      <c r="F281" s="175"/>
      <c r="G281" s="175"/>
      <c r="H281" s="175"/>
      <c r="I281" s="175"/>
      <c r="J281" s="175"/>
      <c r="K281" s="175"/>
      <c r="L281" s="175"/>
      <c r="M281" s="176"/>
      <c r="N281" s="358"/>
    </row>
    <row r="282" spans="2:15" ht="20.100000000000001" customHeight="1" x14ac:dyDescent="0.3">
      <c r="B282" s="307"/>
      <c r="C282" s="308"/>
      <c r="D282" s="147"/>
      <c r="E282" s="175"/>
      <c r="F282" s="175"/>
      <c r="G282" s="175"/>
      <c r="H282" s="175"/>
      <c r="I282" s="175"/>
      <c r="J282" s="175"/>
      <c r="K282" s="175"/>
      <c r="L282" s="175"/>
      <c r="M282" s="176"/>
      <c r="N282" s="342"/>
    </row>
    <row r="283" spans="2:15" ht="20.100000000000001" customHeight="1" x14ac:dyDescent="0.3">
      <c r="B283" s="307"/>
      <c r="C283" s="308"/>
      <c r="D283" s="147"/>
      <c r="E283" s="175"/>
      <c r="F283" s="175"/>
      <c r="G283" s="175"/>
      <c r="H283" s="175"/>
      <c r="I283" s="175"/>
      <c r="J283" s="175"/>
      <c r="K283" s="175"/>
      <c r="L283" s="175"/>
      <c r="M283" s="176"/>
      <c r="N283" s="342"/>
    </row>
    <row r="284" spans="2:15" ht="20.100000000000001" customHeight="1" x14ac:dyDescent="0.3">
      <c r="B284" s="307"/>
      <c r="C284" s="308"/>
      <c r="D284" s="147"/>
      <c r="E284" s="175"/>
      <c r="F284" s="175"/>
      <c r="G284" s="175"/>
      <c r="H284" s="175"/>
      <c r="I284" s="175"/>
      <c r="J284" s="175"/>
      <c r="K284" s="175"/>
      <c r="L284" s="175"/>
      <c r="M284" s="176"/>
      <c r="N284" s="342"/>
    </row>
    <row r="285" spans="2:15" ht="20.100000000000001" customHeight="1" x14ac:dyDescent="0.3">
      <c r="B285" s="307"/>
      <c r="C285" s="308"/>
      <c r="D285" s="147"/>
      <c r="E285" s="175"/>
      <c r="F285" s="175"/>
      <c r="G285" s="175"/>
      <c r="H285" s="175"/>
      <c r="I285" s="175"/>
      <c r="J285" s="175"/>
      <c r="K285" s="175"/>
      <c r="L285" s="175"/>
      <c r="M285" s="176"/>
      <c r="N285" s="342"/>
    </row>
    <row r="286" spans="2:15" ht="20.100000000000001" customHeight="1" x14ac:dyDescent="0.3">
      <c r="B286" s="307"/>
      <c r="C286" s="308"/>
      <c r="D286" s="147"/>
      <c r="E286" s="175"/>
      <c r="F286" s="175"/>
      <c r="G286" s="175"/>
      <c r="H286" s="175"/>
      <c r="I286" s="175"/>
      <c r="J286" s="175"/>
      <c r="K286" s="175"/>
      <c r="L286" s="175"/>
      <c r="M286" s="176"/>
      <c r="N286" s="342"/>
    </row>
    <row r="287" spans="2:15" ht="20.100000000000001" customHeight="1" x14ac:dyDescent="0.3">
      <c r="B287" s="307"/>
      <c r="C287" s="308"/>
      <c r="D287" s="147"/>
      <c r="E287" s="175"/>
      <c r="F287" s="175"/>
      <c r="G287" s="175"/>
      <c r="H287" s="175"/>
      <c r="I287" s="175"/>
      <c r="J287" s="175"/>
      <c r="K287" s="175"/>
      <c r="L287" s="175"/>
      <c r="M287" s="176"/>
      <c r="N287" s="342"/>
    </row>
    <row r="288" spans="2:15" ht="20.100000000000001" customHeight="1" x14ac:dyDescent="0.3">
      <c r="B288" s="307"/>
      <c r="C288" s="308"/>
      <c r="D288" s="147"/>
      <c r="E288" s="175"/>
      <c r="F288" s="175"/>
      <c r="G288" s="175"/>
      <c r="H288" s="175"/>
      <c r="I288" s="175"/>
      <c r="J288" s="175"/>
      <c r="K288" s="175"/>
      <c r="L288" s="175"/>
      <c r="M288" s="176"/>
      <c r="N288" s="342"/>
    </row>
    <row r="289" spans="2:15" ht="20.100000000000001" customHeight="1" x14ac:dyDescent="0.3">
      <c r="B289" s="307"/>
      <c r="C289" s="308"/>
      <c r="D289" s="147"/>
      <c r="E289" s="175"/>
      <c r="F289" s="175"/>
      <c r="G289" s="175"/>
      <c r="H289" s="175"/>
      <c r="I289" s="175"/>
      <c r="J289" s="175"/>
      <c r="K289" s="175"/>
      <c r="L289" s="175"/>
      <c r="M289" s="176"/>
      <c r="N289" s="342"/>
    </row>
    <row r="290" spans="2:15" ht="20.100000000000001" customHeight="1" x14ac:dyDescent="0.3">
      <c r="B290" s="307"/>
      <c r="C290" s="308"/>
      <c r="D290" s="147"/>
      <c r="E290" s="175"/>
      <c r="F290" s="175"/>
      <c r="G290" s="175"/>
      <c r="H290" s="175"/>
      <c r="I290" s="175"/>
      <c r="J290" s="175"/>
      <c r="K290" s="175"/>
      <c r="L290" s="175"/>
      <c r="M290" s="176"/>
      <c r="N290" s="342"/>
    </row>
    <row r="291" spans="2:15" ht="20.100000000000001" customHeight="1" x14ac:dyDescent="0.3">
      <c r="B291" s="307"/>
      <c r="C291" s="308"/>
      <c r="D291" s="147"/>
      <c r="E291" s="175"/>
      <c r="F291" s="175"/>
      <c r="G291" s="175"/>
      <c r="H291" s="175"/>
      <c r="I291" s="175"/>
      <c r="J291" s="175"/>
      <c r="K291" s="175"/>
      <c r="L291" s="175"/>
      <c r="M291" s="176"/>
      <c r="N291" s="342"/>
    </row>
    <row r="292" spans="2:15" ht="20.100000000000001" customHeight="1" x14ac:dyDescent="0.3">
      <c r="B292" s="307"/>
      <c r="C292" s="308"/>
      <c r="D292" s="147"/>
      <c r="E292" s="175"/>
      <c r="F292" s="175"/>
      <c r="G292" s="175"/>
      <c r="H292" s="175"/>
      <c r="I292" s="175"/>
      <c r="J292" s="175"/>
      <c r="K292" s="175"/>
      <c r="L292" s="175"/>
      <c r="M292" s="176"/>
      <c r="N292" s="342"/>
    </row>
    <row r="293" spans="2:15" ht="20.100000000000001" customHeight="1" x14ac:dyDescent="0.3">
      <c r="B293" s="307"/>
      <c r="C293" s="308"/>
      <c r="D293" s="147"/>
      <c r="E293" s="175"/>
      <c r="F293" s="175"/>
      <c r="G293" s="175"/>
      <c r="H293" s="175"/>
      <c r="I293" s="175"/>
      <c r="J293" s="175"/>
      <c r="K293" s="175"/>
      <c r="L293" s="175"/>
      <c r="M293" s="176"/>
      <c r="N293" s="342"/>
    </row>
    <row r="294" spans="2:15" ht="20.100000000000001" customHeight="1" x14ac:dyDescent="0.3">
      <c r="B294" s="344"/>
      <c r="C294" s="345"/>
      <c r="D294" s="147"/>
      <c r="E294" s="147"/>
      <c r="F294" s="147"/>
      <c r="G294" s="147"/>
      <c r="H294" s="147"/>
      <c r="I294" s="147"/>
      <c r="J294" s="147"/>
      <c r="K294" s="147"/>
      <c r="L294" s="147"/>
      <c r="M294" s="154"/>
      <c r="N294" s="342"/>
    </row>
    <row r="295" spans="2:15" ht="20.100000000000001" customHeight="1" thickBot="1" x14ac:dyDescent="0.35">
      <c r="B295" s="339" t="s">
        <v>220</v>
      </c>
      <c r="C295" s="340"/>
      <c r="D295" s="170">
        <f t="shared" ref="D295:M295" si="13">SUM(D269:D294)</f>
        <v>0</v>
      </c>
      <c r="E295" s="170">
        <f t="shared" si="13"/>
        <v>0</v>
      </c>
      <c r="F295" s="170">
        <f t="shared" si="13"/>
        <v>0</v>
      </c>
      <c r="G295" s="170">
        <f t="shared" si="13"/>
        <v>0</v>
      </c>
      <c r="H295" s="170">
        <f t="shared" si="13"/>
        <v>0</v>
      </c>
      <c r="I295" s="170">
        <f t="shared" si="13"/>
        <v>0</v>
      </c>
      <c r="J295" s="170">
        <f t="shared" si="13"/>
        <v>0</v>
      </c>
      <c r="K295" s="170">
        <f t="shared" si="13"/>
        <v>0</v>
      </c>
      <c r="L295" s="170">
        <f t="shared" si="13"/>
        <v>0</v>
      </c>
      <c r="M295" s="170">
        <f t="shared" si="13"/>
        <v>0</v>
      </c>
      <c r="N295" s="342"/>
    </row>
    <row r="296" spans="2:15" ht="14.4" thickBot="1" x14ac:dyDescent="0.35"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342"/>
    </row>
    <row r="297" spans="2:15" ht="20.100000000000001" customHeight="1" thickBot="1" x14ac:dyDescent="0.35">
      <c r="B297" s="325" t="s">
        <v>217</v>
      </c>
      <c r="C297" s="326"/>
      <c r="D297" s="326"/>
      <c r="E297" s="327"/>
      <c r="F297" s="167">
        <f>D295+E295+F295+G295+H295+I295+J295+K295+L295</f>
        <v>0</v>
      </c>
      <c r="G297" s="182"/>
      <c r="H297" s="182"/>
      <c r="I297" s="182"/>
      <c r="J297" s="182"/>
      <c r="K297" s="182"/>
      <c r="L297" s="182"/>
      <c r="M297" s="182"/>
      <c r="N297" s="342"/>
    </row>
    <row r="298" spans="2:15" ht="20.100000000000001" customHeight="1" thickBot="1" x14ac:dyDescent="0.35">
      <c r="B298" s="328" t="s">
        <v>218</v>
      </c>
      <c r="C298" s="329"/>
      <c r="D298" s="329"/>
      <c r="E298" s="330"/>
      <c r="F298" s="168">
        <v>12</v>
      </c>
      <c r="G298" s="182"/>
      <c r="H298" s="182"/>
      <c r="I298" s="182"/>
      <c r="J298" s="182"/>
      <c r="K298" s="182"/>
      <c r="L298" s="182"/>
      <c r="M298" s="182"/>
      <c r="N298" s="342"/>
    </row>
    <row r="299" spans="2:15" ht="20.100000000000001" customHeight="1" thickBot="1" x14ac:dyDescent="0.35">
      <c r="B299" s="331" t="s">
        <v>219</v>
      </c>
      <c r="C299" s="332"/>
      <c r="D299" s="332"/>
      <c r="E299" s="333"/>
      <c r="F299" s="169">
        <f>F298-F297</f>
        <v>12</v>
      </c>
      <c r="G299" s="182"/>
      <c r="H299" s="182"/>
      <c r="I299" s="182"/>
      <c r="J299" s="182"/>
      <c r="K299" s="182"/>
      <c r="L299" s="182"/>
      <c r="M299" s="182"/>
      <c r="N299" s="342"/>
    </row>
    <row r="300" spans="2:15" x14ac:dyDescent="0.3">
      <c r="B300" s="341"/>
      <c r="C300" s="342"/>
      <c r="D300" s="342"/>
      <c r="E300" s="342"/>
      <c r="F300" s="342"/>
      <c r="G300" s="342"/>
      <c r="H300" s="342"/>
      <c r="I300" s="342"/>
      <c r="J300" s="342"/>
      <c r="K300" s="342"/>
      <c r="L300" s="342"/>
      <c r="M300" s="342"/>
      <c r="N300" s="342"/>
    </row>
    <row r="301" spans="2:15" x14ac:dyDescent="0.3">
      <c r="B301" s="342"/>
      <c r="C301" s="342"/>
      <c r="D301" s="342"/>
      <c r="E301" s="342"/>
      <c r="F301" s="342"/>
      <c r="G301" s="342"/>
      <c r="H301" s="342"/>
      <c r="I301" s="342"/>
      <c r="J301" s="342"/>
      <c r="K301" s="342"/>
      <c r="L301" s="342"/>
      <c r="M301" s="342"/>
      <c r="N301" s="342"/>
    </row>
    <row r="302" spans="2:15" ht="14.4" thickBot="1" x14ac:dyDescent="0.35">
      <c r="B302" s="343"/>
      <c r="C302" s="343"/>
      <c r="D302" s="343"/>
      <c r="E302" s="343"/>
      <c r="F302" s="343"/>
      <c r="G302" s="343"/>
      <c r="H302" s="343"/>
      <c r="I302" s="343"/>
      <c r="J302" s="343"/>
      <c r="K302" s="343"/>
      <c r="L302" s="343"/>
      <c r="M302" s="343"/>
      <c r="N302" s="342"/>
    </row>
    <row r="303" spans="2:15" ht="30" customHeight="1" thickBot="1" x14ac:dyDescent="0.35">
      <c r="B303" s="334" t="s">
        <v>19</v>
      </c>
      <c r="C303" s="335"/>
      <c r="D303" s="346">
        <v>2025</v>
      </c>
      <c r="E303" s="347"/>
      <c r="F303" s="347"/>
      <c r="G303" s="347"/>
      <c r="H303" s="347"/>
      <c r="I303" s="347"/>
      <c r="J303" s="347"/>
      <c r="K303" s="347"/>
      <c r="L303" s="347"/>
      <c r="M303" s="348"/>
      <c r="N303" s="343"/>
    </row>
    <row r="304" spans="2:15" ht="26.25" customHeight="1" x14ac:dyDescent="0.3">
      <c r="B304" s="350" t="s">
        <v>223</v>
      </c>
      <c r="C304" s="351"/>
      <c r="D304" s="178" t="s">
        <v>199</v>
      </c>
      <c r="E304" s="159" t="s">
        <v>159</v>
      </c>
      <c r="F304" s="159" t="s">
        <v>160</v>
      </c>
      <c r="G304" s="159" t="s">
        <v>161</v>
      </c>
      <c r="H304" s="159" t="s">
        <v>162</v>
      </c>
      <c r="I304" s="159" t="s">
        <v>163</v>
      </c>
      <c r="J304" s="159" t="s">
        <v>164</v>
      </c>
      <c r="K304" s="159" t="s">
        <v>165</v>
      </c>
      <c r="L304" s="159" t="s">
        <v>166</v>
      </c>
      <c r="M304" s="160" t="s">
        <v>167</v>
      </c>
      <c r="N304" s="352" t="s">
        <v>222</v>
      </c>
      <c r="O304" s="353"/>
    </row>
    <row r="305" spans="2:15" ht="20.100000000000001" customHeight="1" x14ac:dyDescent="0.3">
      <c r="B305" s="307"/>
      <c r="C305" s="308"/>
      <c r="D305" s="147"/>
      <c r="E305" s="175"/>
      <c r="F305" s="175"/>
      <c r="G305" s="175"/>
      <c r="H305" s="175"/>
      <c r="I305" s="175"/>
      <c r="J305" s="175"/>
      <c r="K305" s="175"/>
      <c r="L305" s="175"/>
      <c r="M305" s="176"/>
      <c r="N305" s="354"/>
      <c r="O305" s="355"/>
    </row>
    <row r="306" spans="2:15" ht="20.100000000000001" customHeight="1" x14ac:dyDescent="0.3">
      <c r="B306" s="307"/>
      <c r="C306" s="308"/>
      <c r="D306" s="147"/>
      <c r="E306" s="175"/>
      <c r="F306" s="175"/>
      <c r="G306" s="175"/>
      <c r="H306" s="175"/>
      <c r="I306" s="175"/>
      <c r="J306" s="175"/>
      <c r="K306" s="175"/>
      <c r="L306" s="175"/>
      <c r="M306" s="176"/>
      <c r="N306" s="354"/>
      <c r="O306" s="355"/>
    </row>
    <row r="307" spans="2:15" ht="20.100000000000001" customHeight="1" x14ac:dyDescent="0.3">
      <c r="B307" s="307"/>
      <c r="C307" s="308"/>
      <c r="D307" s="147"/>
      <c r="E307" s="175"/>
      <c r="F307" s="175"/>
      <c r="G307" s="175"/>
      <c r="H307" s="175"/>
      <c r="I307" s="175"/>
      <c r="J307" s="175"/>
      <c r="K307" s="175"/>
      <c r="L307" s="175"/>
      <c r="M307" s="176"/>
      <c r="N307" s="354"/>
      <c r="O307" s="355"/>
    </row>
    <row r="308" spans="2:15" ht="20.100000000000001" customHeight="1" x14ac:dyDescent="0.3">
      <c r="B308" s="307"/>
      <c r="C308" s="308"/>
      <c r="D308" s="147"/>
      <c r="E308" s="175"/>
      <c r="F308" s="175"/>
      <c r="G308" s="175"/>
      <c r="H308" s="175"/>
      <c r="I308" s="175"/>
      <c r="J308" s="175"/>
      <c r="K308" s="175"/>
      <c r="L308" s="175"/>
      <c r="M308" s="176"/>
      <c r="N308" s="354"/>
      <c r="O308" s="355"/>
    </row>
    <row r="309" spans="2:15" ht="20.100000000000001" customHeight="1" x14ac:dyDescent="0.3">
      <c r="B309" s="307"/>
      <c r="C309" s="308"/>
      <c r="D309" s="147"/>
      <c r="E309" s="175"/>
      <c r="F309" s="175"/>
      <c r="G309" s="175"/>
      <c r="H309" s="175"/>
      <c r="I309" s="175"/>
      <c r="J309" s="175"/>
      <c r="K309" s="175"/>
      <c r="L309" s="175"/>
      <c r="M309" s="176"/>
      <c r="N309" s="354"/>
      <c r="O309" s="355"/>
    </row>
    <row r="310" spans="2:15" ht="20.100000000000001" customHeight="1" x14ac:dyDescent="0.3">
      <c r="B310" s="307"/>
      <c r="C310" s="308"/>
      <c r="D310" s="147"/>
      <c r="E310" s="175"/>
      <c r="F310" s="175"/>
      <c r="G310" s="175"/>
      <c r="H310" s="175"/>
      <c r="I310" s="175"/>
      <c r="J310" s="175"/>
      <c r="K310" s="175"/>
      <c r="L310" s="175"/>
      <c r="M310" s="176"/>
      <c r="N310" s="354"/>
      <c r="O310" s="355"/>
    </row>
    <row r="311" spans="2:15" ht="20.100000000000001" customHeight="1" x14ac:dyDescent="0.3">
      <c r="B311" s="307"/>
      <c r="C311" s="308"/>
      <c r="D311" s="147"/>
      <c r="E311" s="175"/>
      <c r="F311" s="175"/>
      <c r="G311" s="175"/>
      <c r="H311" s="175"/>
      <c r="I311" s="175"/>
      <c r="J311" s="175"/>
      <c r="K311" s="175"/>
      <c r="L311" s="175"/>
      <c r="M311" s="176"/>
      <c r="N311" s="354"/>
      <c r="O311" s="355"/>
    </row>
    <row r="312" spans="2:15" ht="20.100000000000001" customHeight="1" x14ac:dyDescent="0.3">
      <c r="B312" s="307"/>
      <c r="C312" s="308"/>
      <c r="D312" s="147"/>
      <c r="E312" s="175"/>
      <c r="F312" s="175"/>
      <c r="G312" s="175"/>
      <c r="H312" s="175"/>
      <c r="I312" s="175"/>
      <c r="J312" s="175"/>
      <c r="K312" s="175"/>
      <c r="L312" s="175"/>
      <c r="M312" s="176"/>
      <c r="N312" s="354"/>
      <c r="O312" s="355"/>
    </row>
    <row r="313" spans="2:15" ht="20.100000000000001" customHeight="1" x14ac:dyDescent="0.3">
      <c r="B313" s="307"/>
      <c r="C313" s="308"/>
      <c r="D313" s="147"/>
      <c r="E313" s="175"/>
      <c r="F313" s="175"/>
      <c r="G313" s="175"/>
      <c r="H313" s="175"/>
      <c r="I313" s="175"/>
      <c r="J313" s="175"/>
      <c r="K313" s="175"/>
      <c r="L313" s="175"/>
      <c r="M313" s="176"/>
      <c r="N313" s="354"/>
      <c r="O313" s="355"/>
    </row>
    <row r="314" spans="2:15" ht="20.100000000000001" customHeight="1" x14ac:dyDescent="0.3">
      <c r="B314" s="307"/>
      <c r="C314" s="308"/>
      <c r="D314" s="147"/>
      <c r="E314" s="175"/>
      <c r="F314" s="175"/>
      <c r="G314" s="175"/>
      <c r="H314" s="175"/>
      <c r="I314" s="175"/>
      <c r="J314" s="175"/>
      <c r="K314" s="175"/>
      <c r="L314" s="175"/>
      <c r="M314" s="176"/>
      <c r="N314" s="354"/>
      <c r="O314" s="355"/>
    </row>
    <row r="315" spans="2:15" ht="20.100000000000001" customHeight="1" x14ac:dyDescent="0.3">
      <c r="B315" s="307"/>
      <c r="C315" s="308"/>
      <c r="D315" s="147"/>
      <c r="E315" s="175"/>
      <c r="F315" s="175"/>
      <c r="G315" s="175"/>
      <c r="H315" s="175"/>
      <c r="I315" s="175"/>
      <c r="J315" s="175"/>
      <c r="K315" s="175"/>
      <c r="L315" s="175"/>
      <c r="M315" s="176"/>
      <c r="N315" s="354"/>
      <c r="O315" s="355"/>
    </row>
    <row r="316" spans="2:15" ht="20.100000000000001" customHeight="1" thickBot="1" x14ac:dyDescent="0.35">
      <c r="B316" s="307"/>
      <c r="C316" s="308"/>
      <c r="D316" s="147"/>
      <c r="E316" s="175"/>
      <c r="F316" s="175"/>
      <c r="G316" s="175"/>
      <c r="H316" s="175"/>
      <c r="I316" s="175"/>
      <c r="J316" s="175"/>
      <c r="K316" s="175"/>
      <c r="L316" s="175"/>
      <c r="M316" s="176"/>
      <c r="N316" s="356"/>
      <c r="O316" s="357"/>
    </row>
    <row r="317" spans="2:15" ht="20.100000000000001" customHeight="1" x14ac:dyDescent="0.3">
      <c r="B317" s="307"/>
      <c r="C317" s="308"/>
      <c r="D317" s="147"/>
      <c r="E317" s="175"/>
      <c r="F317" s="175"/>
      <c r="G317" s="175"/>
      <c r="H317" s="175"/>
      <c r="I317" s="175"/>
      <c r="J317" s="175"/>
      <c r="K317" s="175"/>
      <c r="L317" s="175"/>
      <c r="M317" s="176"/>
      <c r="N317" s="358"/>
    </row>
    <row r="318" spans="2:15" ht="20.100000000000001" customHeight="1" x14ac:dyDescent="0.3">
      <c r="B318" s="307"/>
      <c r="C318" s="308"/>
      <c r="D318" s="147"/>
      <c r="E318" s="175"/>
      <c r="F318" s="175"/>
      <c r="G318" s="175"/>
      <c r="H318" s="175"/>
      <c r="I318" s="175"/>
      <c r="J318" s="175"/>
      <c r="K318" s="175"/>
      <c r="L318" s="175"/>
      <c r="M318" s="176"/>
      <c r="N318" s="342"/>
    </row>
    <row r="319" spans="2:15" ht="20.100000000000001" customHeight="1" x14ac:dyDescent="0.3">
      <c r="B319" s="307"/>
      <c r="C319" s="308"/>
      <c r="D319" s="147"/>
      <c r="E319" s="175"/>
      <c r="F319" s="175"/>
      <c r="G319" s="175"/>
      <c r="H319" s="175"/>
      <c r="I319" s="175"/>
      <c r="J319" s="175"/>
      <c r="K319" s="175"/>
      <c r="L319" s="175"/>
      <c r="M319" s="176"/>
      <c r="N319" s="342"/>
    </row>
    <row r="320" spans="2:15" ht="20.100000000000001" customHeight="1" x14ac:dyDescent="0.3">
      <c r="B320" s="307"/>
      <c r="C320" s="308"/>
      <c r="D320" s="147"/>
      <c r="E320" s="175"/>
      <c r="F320" s="175"/>
      <c r="G320" s="175"/>
      <c r="H320" s="175"/>
      <c r="I320" s="175"/>
      <c r="J320" s="175"/>
      <c r="K320" s="175"/>
      <c r="L320" s="175"/>
      <c r="M320" s="176"/>
      <c r="N320" s="342"/>
    </row>
    <row r="321" spans="2:14" ht="20.100000000000001" customHeight="1" x14ac:dyDescent="0.3">
      <c r="B321" s="307"/>
      <c r="C321" s="308"/>
      <c r="D321" s="147"/>
      <c r="E321" s="175"/>
      <c r="F321" s="175"/>
      <c r="G321" s="175"/>
      <c r="H321" s="175"/>
      <c r="I321" s="175"/>
      <c r="J321" s="175"/>
      <c r="K321" s="175"/>
      <c r="L321" s="175"/>
      <c r="M321" s="176"/>
      <c r="N321" s="342"/>
    </row>
    <row r="322" spans="2:14" ht="20.100000000000001" customHeight="1" x14ac:dyDescent="0.3">
      <c r="B322" s="307"/>
      <c r="C322" s="308"/>
      <c r="D322" s="147"/>
      <c r="E322" s="175"/>
      <c r="F322" s="175"/>
      <c r="G322" s="175"/>
      <c r="H322" s="175"/>
      <c r="I322" s="175"/>
      <c r="J322" s="175"/>
      <c r="K322" s="175"/>
      <c r="L322" s="175"/>
      <c r="M322" s="176"/>
      <c r="N322" s="342"/>
    </row>
    <row r="323" spans="2:14" ht="20.100000000000001" customHeight="1" x14ac:dyDescent="0.3">
      <c r="B323" s="307"/>
      <c r="C323" s="308"/>
      <c r="D323" s="147"/>
      <c r="E323" s="175"/>
      <c r="F323" s="175"/>
      <c r="G323" s="175"/>
      <c r="H323" s="175"/>
      <c r="I323" s="175"/>
      <c r="J323" s="175"/>
      <c r="K323" s="175"/>
      <c r="L323" s="175"/>
      <c r="M323" s="176"/>
      <c r="N323" s="342"/>
    </row>
    <row r="324" spans="2:14" ht="20.100000000000001" customHeight="1" x14ac:dyDescent="0.3">
      <c r="B324" s="307"/>
      <c r="C324" s="308"/>
      <c r="D324" s="147"/>
      <c r="E324" s="175"/>
      <c r="F324" s="175"/>
      <c r="G324" s="175"/>
      <c r="H324" s="175"/>
      <c r="I324" s="175"/>
      <c r="J324" s="175"/>
      <c r="K324" s="175"/>
      <c r="L324" s="175"/>
      <c r="M324" s="176"/>
      <c r="N324" s="342"/>
    </row>
    <row r="325" spans="2:14" ht="20.100000000000001" customHeight="1" x14ac:dyDescent="0.3">
      <c r="B325" s="307"/>
      <c r="C325" s="308"/>
      <c r="D325" s="147"/>
      <c r="E325" s="175"/>
      <c r="F325" s="175"/>
      <c r="G325" s="175"/>
      <c r="H325" s="175"/>
      <c r="I325" s="175"/>
      <c r="J325" s="175"/>
      <c r="K325" s="175"/>
      <c r="L325" s="175"/>
      <c r="M325" s="176"/>
      <c r="N325" s="342"/>
    </row>
    <row r="326" spans="2:14" ht="20.100000000000001" customHeight="1" x14ac:dyDescent="0.3">
      <c r="B326" s="307"/>
      <c r="C326" s="308"/>
      <c r="D326" s="147"/>
      <c r="E326" s="175"/>
      <c r="F326" s="175"/>
      <c r="G326" s="175"/>
      <c r="H326" s="175"/>
      <c r="I326" s="175"/>
      <c r="J326" s="175"/>
      <c r="K326" s="175"/>
      <c r="L326" s="175"/>
      <c r="M326" s="176"/>
      <c r="N326" s="342"/>
    </row>
    <row r="327" spans="2:14" ht="20.100000000000001" customHeight="1" x14ac:dyDescent="0.3">
      <c r="B327" s="307"/>
      <c r="C327" s="308"/>
      <c r="D327" s="147"/>
      <c r="E327" s="175"/>
      <c r="F327" s="175"/>
      <c r="G327" s="175"/>
      <c r="H327" s="175"/>
      <c r="I327" s="175"/>
      <c r="J327" s="175"/>
      <c r="K327" s="175"/>
      <c r="L327" s="175"/>
      <c r="M327" s="176"/>
      <c r="N327" s="342"/>
    </row>
    <row r="328" spans="2:14" ht="20.100000000000001" customHeight="1" x14ac:dyDescent="0.3">
      <c r="B328" s="307"/>
      <c r="C328" s="308"/>
      <c r="D328" s="147"/>
      <c r="E328" s="175"/>
      <c r="F328" s="175"/>
      <c r="G328" s="175"/>
      <c r="H328" s="175"/>
      <c r="I328" s="175"/>
      <c r="J328" s="175"/>
      <c r="K328" s="175"/>
      <c r="L328" s="175"/>
      <c r="M328" s="176"/>
      <c r="N328" s="342"/>
    </row>
    <row r="329" spans="2:14" ht="20.100000000000001" customHeight="1" x14ac:dyDescent="0.3">
      <c r="B329" s="307"/>
      <c r="C329" s="308"/>
      <c r="D329" s="147"/>
      <c r="E329" s="175"/>
      <c r="F329" s="175"/>
      <c r="G329" s="175"/>
      <c r="H329" s="175"/>
      <c r="I329" s="175"/>
      <c r="J329" s="175"/>
      <c r="K329" s="175"/>
      <c r="L329" s="175"/>
      <c r="M329" s="176"/>
      <c r="N329" s="342"/>
    </row>
    <row r="330" spans="2:14" ht="20.100000000000001" customHeight="1" x14ac:dyDescent="0.3">
      <c r="B330" s="344"/>
      <c r="C330" s="345"/>
      <c r="D330" s="147"/>
      <c r="E330" s="147"/>
      <c r="F330" s="147"/>
      <c r="G330" s="147"/>
      <c r="H330" s="147"/>
      <c r="I330" s="147"/>
      <c r="J330" s="147"/>
      <c r="K330" s="147"/>
      <c r="L330" s="147"/>
      <c r="M330" s="154"/>
      <c r="N330" s="342"/>
    </row>
    <row r="331" spans="2:14" ht="20.100000000000001" customHeight="1" thickBot="1" x14ac:dyDescent="0.35">
      <c r="B331" s="339" t="s">
        <v>220</v>
      </c>
      <c r="C331" s="340"/>
      <c r="D331" s="170">
        <f t="shared" ref="D331:M331" si="14">SUM(D305:D330)</f>
        <v>0</v>
      </c>
      <c r="E331" s="170">
        <f t="shared" si="14"/>
        <v>0</v>
      </c>
      <c r="F331" s="170">
        <f t="shared" si="14"/>
        <v>0</v>
      </c>
      <c r="G331" s="170">
        <f t="shared" si="14"/>
        <v>0</v>
      </c>
      <c r="H331" s="170">
        <f t="shared" si="14"/>
        <v>0</v>
      </c>
      <c r="I331" s="170">
        <f t="shared" si="14"/>
        <v>0</v>
      </c>
      <c r="J331" s="170">
        <f t="shared" si="14"/>
        <v>0</v>
      </c>
      <c r="K331" s="170">
        <f t="shared" si="14"/>
        <v>0</v>
      </c>
      <c r="L331" s="170">
        <f t="shared" si="14"/>
        <v>0</v>
      </c>
      <c r="M331" s="170">
        <f t="shared" si="14"/>
        <v>0</v>
      </c>
      <c r="N331" s="342"/>
    </row>
    <row r="332" spans="2:14" ht="14.4" thickBot="1" x14ac:dyDescent="0.35"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342"/>
    </row>
    <row r="333" spans="2:14" ht="20.100000000000001" customHeight="1" thickBot="1" x14ac:dyDescent="0.35">
      <c r="B333" s="325" t="s">
        <v>224</v>
      </c>
      <c r="C333" s="326"/>
      <c r="D333" s="326"/>
      <c r="E333" s="327"/>
      <c r="F333" s="167">
        <f>D331+E331+F331+G331+H331+I331+J331+K331+L331</f>
        <v>0</v>
      </c>
      <c r="G333" s="182"/>
      <c r="H333" s="182"/>
      <c r="I333" s="182"/>
      <c r="J333" s="182"/>
      <c r="K333" s="182"/>
      <c r="L333" s="182"/>
      <c r="M333" s="182"/>
      <c r="N333" s="342"/>
    </row>
    <row r="334" spans="2:14" ht="20.100000000000001" customHeight="1" thickBot="1" x14ac:dyDescent="0.35">
      <c r="B334" s="328" t="s">
        <v>225</v>
      </c>
      <c r="C334" s="329"/>
      <c r="D334" s="329"/>
      <c r="E334" s="330"/>
      <c r="F334" s="168">
        <v>2</v>
      </c>
      <c r="G334" s="182"/>
      <c r="H334" s="182"/>
      <c r="I334" s="182"/>
      <c r="J334" s="182"/>
      <c r="K334" s="182"/>
      <c r="L334" s="182"/>
      <c r="M334" s="182"/>
      <c r="N334" s="342"/>
    </row>
    <row r="335" spans="2:14" ht="20.100000000000001" customHeight="1" thickBot="1" x14ac:dyDescent="0.35">
      <c r="B335" s="331" t="s">
        <v>226</v>
      </c>
      <c r="C335" s="332"/>
      <c r="D335" s="332"/>
      <c r="E335" s="333"/>
      <c r="F335" s="169">
        <f>F334-F333</f>
        <v>2</v>
      </c>
      <c r="G335" s="182"/>
      <c r="H335" s="182"/>
      <c r="I335" s="182"/>
      <c r="J335" s="182"/>
      <c r="K335" s="182"/>
      <c r="L335" s="182"/>
      <c r="M335" s="182"/>
      <c r="N335" s="342"/>
    </row>
    <row r="336" spans="2:14" x14ac:dyDescent="0.3">
      <c r="B336" s="341"/>
      <c r="C336" s="342"/>
      <c r="D336" s="342"/>
      <c r="E336" s="342"/>
      <c r="F336" s="342"/>
      <c r="G336" s="342"/>
      <c r="H336" s="342"/>
      <c r="I336" s="342"/>
      <c r="J336" s="342"/>
      <c r="K336" s="342"/>
      <c r="L336" s="342"/>
      <c r="M336" s="342"/>
      <c r="N336" s="342"/>
    </row>
    <row r="337" spans="2:15" x14ac:dyDescent="0.3">
      <c r="B337" s="342"/>
      <c r="C337" s="342"/>
      <c r="D337" s="342"/>
      <c r="E337" s="342"/>
      <c r="F337" s="342"/>
      <c r="G337" s="342"/>
      <c r="H337" s="342"/>
      <c r="I337" s="342"/>
      <c r="J337" s="342"/>
      <c r="K337" s="342"/>
      <c r="L337" s="342"/>
      <c r="M337" s="342"/>
      <c r="N337" s="342"/>
    </row>
    <row r="338" spans="2:15" ht="14.4" thickBot="1" x14ac:dyDescent="0.35">
      <c r="B338" s="343"/>
      <c r="C338" s="343"/>
      <c r="D338" s="343"/>
      <c r="E338" s="343"/>
      <c r="F338" s="343"/>
      <c r="G338" s="343"/>
      <c r="H338" s="343"/>
      <c r="I338" s="343"/>
      <c r="J338" s="343"/>
      <c r="K338" s="343"/>
      <c r="L338" s="343"/>
      <c r="M338" s="343"/>
      <c r="N338" s="342"/>
    </row>
    <row r="339" spans="2:15" ht="30" customHeight="1" thickBot="1" x14ac:dyDescent="0.35">
      <c r="B339" s="334" t="s">
        <v>19</v>
      </c>
      <c r="C339" s="335"/>
      <c r="D339" s="346">
        <v>2025</v>
      </c>
      <c r="E339" s="347"/>
      <c r="F339" s="347"/>
      <c r="G339" s="347"/>
      <c r="H339" s="347"/>
      <c r="I339" s="347"/>
      <c r="J339" s="347"/>
      <c r="K339" s="347"/>
      <c r="L339" s="347"/>
      <c r="M339" s="348"/>
      <c r="N339" s="343"/>
    </row>
    <row r="340" spans="2:15" ht="26.25" customHeight="1" x14ac:dyDescent="0.3">
      <c r="B340" s="350" t="s">
        <v>227</v>
      </c>
      <c r="C340" s="351"/>
      <c r="D340" s="178" t="s">
        <v>199</v>
      </c>
      <c r="E340" s="159" t="s">
        <v>159</v>
      </c>
      <c r="F340" s="159" t="s">
        <v>160</v>
      </c>
      <c r="G340" s="159" t="s">
        <v>161</v>
      </c>
      <c r="H340" s="159" t="s">
        <v>162</v>
      </c>
      <c r="I340" s="159" t="s">
        <v>163</v>
      </c>
      <c r="J340" s="159" t="s">
        <v>164</v>
      </c>
      <c r="K340" s="159" t="s">
        <v>165</v>
      </c>
      <c r="L340" s="159" t="s">
        <v>166</v>
      </c>
      <c r="M340" s="160" t="s">
        <v>167</v>
      </c>
      <c r="N340" s="352" t="s">
        <v>232</v>
      </c>
      <c r="O340" s="353"/>
    </row>
    <row r="341" spans="2:15" ht="20.100000000000001" customHeight="1" x14ac:dyDescent="0.3">
      <c r="B341" s="307"/>
      <c r="C341" s="308"/>
      <c r="D341" s="147"/>
      <c r="E341" s="175"/>
      <c r="F341" s="175"/>
      <c r="G341" s="175"/>
      <c r="H341" s="175"/>
      <c r="I341" s="175"/>
      <c r="J341" s="175"/>
      <c r="K341" s="175"/>
      <c r="L341" s="175"/>
      <c r="M341" s="176"/>
      <c r="N341" s="354"/>
      <c r="O341" s="355"/>
    </row>
    <row r="342" spans="2:15" ht="20.100000000000001" customHeight="1" x14ac:dyDescent="0.3">
      <c r="B342" s="307"/>
      <c r="C342" s="308"/>
      <c r="D342" s="147"/>
      <c r="E342" s="175"/>
      <c r="F342" s="175"/>
      <c r="G342" s="175"/>
      <c r="H342" s="175"/>
      <c r="I342" s="175"/>
      <c r="J342" s="175"/>
      <c r="K342" s="175"/>
      <c r="L342" s="175"/>
      <c r="M342" s="176"/>
      <c r="N342" s="354"/>
      <c r="O342" s="355"/>
    </row>
    <row r="343" spans="2:15" ht="20.100000000000001" customHeight="1" x14ac:dyDescent="0.3">
      <c r="B343" s="307"/>
      <c r="C343" s="308"/>
      <c r="D343" s="147"/>
      <c r="E343" s="175"/>
      <c r="F343" s="175"/>
      <c r="G343" s="175"/>
      <c r="H343" s="175"/>
      <c r="I343" s="175"/>
      <c r="J343" s="175"/>
      <c r="K343" s="175"/>
      <c r="L343" s="175"/>
      <c r="M343" s="176"/>
      <c r="N343" s="354"/>
      <c r="O343" s="355"/>
    </row>
    <row r="344" spans="2:15" ht="20.100000000000001" customHeight="1" x14ac:dyDescent="0.3">
      <c r="B344" s="307"/>
      <c r="C344" s="308"/>
      <c r="D344" s="147"/>
      <c r="E344" s="175"/>
      <c r="F344" s="175"/>
      <c r="G344" s="175"/>
      <c r="H344" s="175"/>
      <c r="I344" s="175"/>
      <c r="J344" s="175"/>
      <c r="K344" s="175"/>
      <c r="L344" s="175"/>
      <c r="M344" s="176"/>
      <c r="N344" s="354"/>
      <c r="O344" s="355"/>
    </row>
    <row r="345" spans="2:15" ht="20.100000000000001" customHeight="1" x14ac:dyDescent="0.3">
      <c r="B345" s="307"/>
      <c r="C345" s="308"/>
      <c r="D345" s="147"/>
      <c r="E345" s="175"/>
      <c r="F345" s="175"/>
      <c r="G345" s="175"/>
      <c r="H345" s="175"/>
      <c r="I345" s="175"/>
      <c r="J345" s="175"/>
      <c r="K345" s="175"/>
      <c r="L345" s="175"/>
      <c r="M345" s="176"/>
      <c r="N345" s="354"/>
      <c r="O345" s="355"/>
    </row>
    <row r="346" spans="2:15" ht="20.100000000000001" customHeight="1" x14ac:dyDescent="0.3">
      <c r="B346" s="307"/>
      <c r="C346" s="308"/>
      <c r="D346" s="147"/>
      <c r="E346" s="175"/>
      <c r="F346" s="175"/>
      <c r="G346" s="175"/>
      <c r="H346" s="175"/>
      <c r="I346" s="175"/>
      <c r="J346" s="175"/>
      <c r="K346" s="175"/>
      <c r="L346" s="175"/>
      <c r="M346" s="176"/>
      <c r="N346" s="354"/>
      <c r="O346" s="355"/>
    </row>
    <row r="347" spans="2:15" ht="20.100000000000001" customHeight="1" x14ac:dyDescent="0.3">
      <c r="B347" s="307"/>
      <c r="C347" s="308"/>
      <c r="D347" s="147"/>
      <c r="E347" s="175"/>
      <c r="F347" s="175"/>
      <c r="G347" s="175"/>
      <c r="H347" s="175"/>
      <c r="I347" s="175"/>
      <c r="J347" s="175"/>
      <c r="K347" s="175"/>
      <c r="L347" s="175"/>
      <c r="M347" s="176"/>
      <c r="N347" s="354"/>
      <c r="O347" s="355"/>
    </row>
    <row r="348" spans="2:15" ht="20.100000000000001" customHeight="1" x14ac:dyDescent="0.3">
      <c r="B348" s="307"/>
      <c r="C348" s="308"/>
      <c r="D348" s="147"/>
      <c r="E348" s="175"/>
      <c r="F348" s="175"/>
      <c r="G348" s="175"/>
      <c r="H348" s="175"/>
      <c r="I348" s="175"/>
      <c r="J348" s="175"/>
      <c r="K348" s="175"/>
      <c r="L348" s="175"/>
      <c r="M348" s="176"/>
      <c r="N348" s="354"/>
      <c r="O348" s="355"/>
    </row>
    <row r="349" spans="2:15" ht="20.100000000000001" customHeight="1" x14ac:dyDescent="0.3">
      <c r="B349" s="307"/>
      <c r="C349" s="308"/>
      <c r="D349" s="147"/>
      <c r="E349" s="175"/>
      <c r="F349" s="175"/>
      <c r="G349" s="175"/>
      <c r="H349" s="175"/>
      <c r="I349" s="175"/>
      <c r="J349" s="175"/>
      <c r="K349" s="175"/>
      <c r="L349" s="175"/>
      <c r="M349" s="176"/>
      <c r="N349" s="354"/>
      <c r="O349" s="355"/>
    </row>
    <row r="350" spans="2:15" ht="20.100000000000001" customHeight="1" x14ac:dyDescent="0.3">
      <c r="B350" s="307"/>
      <c r="C350" s="308"/>
      <c r="D350" s="147"/>
      <c r="E350" s="175"/>
      <c r="F350" s="175"/>
      <c r="G350" s="175"/>
      <c r="H350" s="175"/>
      <c r="I350" s="175"/>
      <c r="J350" s="175"/>
      <c r="K350" s="175"/>
      <c r="L350" s="175"/>
      <c r="M350" s="176"/>
      <c r="N350" s="354"/>
      <c r="O350" s="355"/>
    </row>
    <row r="351" spans="2:15" ht="20.100000000000001" customHeight="1" x14ac:dyDescent="0.3">
      <c r="B351" s="307"/>
      <c r="C351" s="308"/>
      <c r="D351" s="147"/>
      <c r="E351" s="175"/>
      <c r="F351" s="175"/>
      <c r="G351" s="175"/>
      <c r="H351" s="175"/>
      <c r="I351" s="175"/>
      <c r="J351" s="175"/>
      <c r="K351" s="175"/>
      <c r="L351" s="175"/>
      <c r="M351" s="176"/>
      <c r="N351" s="354"/>
      <c r="O351" s="355"/>
    </row>
    <row r="352" spans="2:15" ht="20.100000000000001" customHeight="1" thickBot="1" x14ac:dyDescent="0.35">
      <c r="B352" s="307"/>
      <c r="C352" s="308"/>
      <c r="D352" s="147"/>
      <c r="E352" s="175"/>
      <c r="F352" s="175"/>
      <c r="G352" s="175"/>
      <c r="H352" s="175"/>
      <c r="I352" s="175"/>
      <c r="J352" s="175"/>
      <c r="K352" s="175"/>
      <c r="L352" s="175"/>
      <c r="M352" s="176"/>
      <c r="N352" s="356"/>
      <c r="O352" s="357"/>
    </row>
    <row r="353" spans="2:14" ht="20.100000000000001" customHeight="1" x14ac:dyDescent="0.3">
      <c r="B353" s="307"/>
      <c r="C353" s="308"/>
      <c r="D353" s="147"/>
      <c r="E353" s="175"/>
      <c r="F353" s="175"/>
      <c r="G353" s="175"/>
      <c r="H353" s="175"/>
      <c r="I353" s="175"/>
      <c r="J353" s="175"/>
      <c r="K353" s="175"/>
      <c r="L353" s="175"/>
      <c r="M353" s="176"/>
      <c r="N353" s="358"/>
    </row>
    <row r="354" spans="2:14" ht="20.100000000000001" customHeight="1" x14ac:dyDescent="0.3">
      <c r="B354" s="307"/>
      <c r="C354" s="308"/>
      <c r="D354" s="147"/>
      <c r="E354" s="175"/>
      <c r="F354" s="175"/>
      <c r="G354" s="175"/>
      <c r="H354" s="175"/>
      <c r="I354" s="175"/>
      <c r="J354" s="175"/>
      <c r="K354" s="175"/>
      <c r="L354" s="175"/>
      <c r="M354" s="176"/>
      <c r="N354" s="342"/>
    </row>
    <row r="355" spans="2:14" ht="20.100000000000001" customHeight="1" x14ac:dyDescent="0.3">
      <c r="B355" s="307"/>
      <c r="C355" s="308"/>
      <c r="D355" s="147"/>
      <c r="E355" s="175"/>
      <c r="F355" s="175"/>
      <c r="G355" s="175"/>
      <c r="H355" s="175"/>
      <c r="I355" s="175"/>
      <c r="J355" s="175"/>
      <c r="K355" s="175"/>
      <c r="L355" s="175"/>
      <c r="M355" s="176"/>
      <c r="N355" s="342"/>
    </row>
    <row r="356" spans="2:14" ht="20.100000000000001" customHeight="1" x14ac:dyDescent="0.3">
      <c r="B356" s="307"/>
      <c r="C356" s="308"/>
      <c r="D356" s="147"/>
      <c r="E356" s="175"/>
      <c r="F356" s="175"/>
      <c r="G356" s="175"/>
      <c r="H356" s="175"/>
      <c r="I356" s="175"/>
      <c r="J356" s="175"/>
      <c r="K356" s="175"/>
      <c r="L356" s="175"/>
      <c r="M356" s="176"/>
      <c r="N356" s="342"/>
    </row>
    <row r="357" spans="2:14" ht="20.100000000000001" customHeight="1" x14ac:dyDescent="0.3">
      <c r="B357" s="307"/>
      <c r="C357" s="308"/>
      <c r="D357" s="147"/>
      <c r="E357" s="175"/>
      <c r="F357" s="175"/>
      <c r="G357" s="175"/>
      <c r="H357" s="175"/>
      <c r="I357" s="175"/>
      <c r="J357" s="175"/>
      <c r="K357" s="175"/>
      <c r="L357" s="175"/>
      <c r="M357" s="176"/>
      <c r="N357" s="342"/>
    </row>
    <row r="358" spans="2:14" ht="20.100000000000001" customHeight="1" x14ac:dyDescent="0.3">
      <c r="B358" s="307"/>
      <c r="C358" s="308"/>
      <c r="D358" s="147"/>
      <c r="E358" s="175"/>
      <c r="F358" s="175"/>
      <c r="G358" s="175"/>
      <c r="H358" s="175"/>
      <c r="I358" s="175"/>
      <c r="J358" s="175"/>
      <c r="K358" s="175"/>
      <c r="L358" s="175"/>
      <c r="M358" s="176"/>
      <c r="N358" s="342"/>
    </row>
    <row r="359" spans="2:14" ht="20.100000000000001" customHeight="1" x14ac:dyDescent="0.3">
      <c r="B359" s="307"/>
      <c r="C359" s="308"/>
      <c r="D359" s="147"/>
      <c r="E359" s="175"/>
      <c r="F359" s="175"/>
      <c r="G359" s="175"/>
      <c r="H359" s="175"/>
      <c r="I359" s="175"/>
      <c r="J359" s="175"/>
      <c r="K359" s="175"/>
      <c r="L359" s="175"/>
      <c r="M359" s="176"/>
      <c r="N359" s="342"/>
    </row>
    <row r="360" spans="2:14" ht="20.100000000000001" customHeight="1" x14ac:dyDescent="0.3">
      <c r="B360" s="307"/>
      <c r="C360" s="308"/>
      <c r="D360" s="147"/>
      <c r="E360" s="175"/>
      <c r="F360" s="175"/>
      <c r="G360" s="175"/>
      <c r="H360" s="175"/>
      <c r="I360" s="175"/>
      <c r="J360" s="175"/>
      <c r="K360" s="175"/>
      <c r="L360" s="175"/>
      <c r="M360" s="176"/>
      <c r="N360" s="342"/>
    </row>
    <row r="361" spans="2:14" ht="20.100000000000001" customHeight="1" x14ac:dyDescent="0.3">
      <c r="B361" s="307"/>
      <c r="C361" s="308"/>
      <c r="D361" s="147"/>
      <c r="E361" s="175"/>
      <c r="F361" s="175"/>
      <c r="G361" s="175"/>
      <c r="H361" s="175"/>
      <c r="I361" s="175"/>
      <c r="J361" s="175"/>
      <c r="K361" s="175"/>
      <c r="L361" s="175"/>
      <c r="M361" s="176"/>
      <c r="N361" s="342"/>
    </row>
    <row r="362" spans="2:14" ht="20.100000000000001" customHeight="1" x14ac:dyDescent="0.3">
      <c r="B362" s="307"/>
      <c r="C362" s="308"/>
      <c r="D362" s="147"/>
      <c r="E362" s="175"/>
      <c r="F362" s="175"/>
      <c r="G362" s="175"/>
      <c r="H362" s="175"/>
      <c r="I362" s="175"/>
      <c r="J362" s="175"/>
      <c r="K362" s="175"/>
      <c r="L362" s="175"/>
      <c r="M362" s="176"/>
      <c r="N362" s="342"/>
    </row>
    <row r="363" spans="2:14" ht="20.100000000000001" customHeight="1" x14ac:dyDescent="0.3">
      <c r="B363" s="307"/>
      <c r="C363" s="308"/>
      <c r="D363" s="147"/>
      <c r="E363" s="175"/>
      <c r="F363" s="175"/>
      <c r="G363" s="175"/>
      <c r="H363" s="175"/>
      <c r="I363" s="175"/>
      <c r="J363" s="175"/>
      <c r="K363" s="175"/>
      <c r="L363" s="175"/>
      <c r="M363" s="176"/>
      <c r="N363" s="342"/>
    </row>
    <row r="364" spans="2:14" ht="20.100000000000001" customHeight="1" x14ac:dyDescent="0.3">
      <c r="B364" s="307"/>
      <c r="C364" s="308"/>
      <c r="D364" s="147"/>
      <c r="E364" s="175"/>
      <c r="F364" s="175"/>
      <c r="G364" s="175"/>
      <c r="H364" s="175"/>
      <c r="I364" s="175"/>
      <c r="J364" s="175"/>
      <c r="K364" s="175"/>
      <c r="L364" s="175"/>
      <c r="M364" s="176"/>
      <c r="N364" s="342"/>
    </row>
    <row r="365" spans="2:14" ht="20.100000000000001" customHeight="1" x14ac:dyDescent="0.3">
      <c r="B365" s="307"/>
      <c r="C365" s="308"/>
      <c r="D365" s="147"/>
      <c r="E365" s="175"/>
      <c r="F365" s="175"/>
      <c r="G365" s="175"/>
      <c r="H365" s="175"/>
      <c r="I365" s="175"/>
      <c r="J365" s="175"/>
      <c r="K365" s="175"/>
      <c r="L365" s="175"/>
      <c r="M365" s="176"/>
      <c r="N365" s="342"/>
    </row>
    <row r="366" spans="2:14" ht="20.100000000000001" customHeight="1" x14ac:dyDescent="0.3">
      <c r="B366" s="344"/>
      <c r="C366" s="345"/>
      <c r="D366" s="147"/>
      <c r="E366" s="147"/>
      <c r="F366" s="147"/>
      <c r="G366" s="147"/>
      <c r="H366" s="147"/>
      <c r="I366" s="147"/>
      <c r="J366" s="147"/>
      <c r="K366" s="147"/>
      <c r="L366" s="147"/>
      <c r="M366" s="154"/>
      <c r="N366" s="342"/>
    </row>
    <row r="367" spans="2:14" ht="20.100000000000001" customHeight="1" thickBot="1" x14ac:dyDescent="0.35">
      <c r="B367" s="339" t="s">
        <v>228</v>
      </c>
      <c r="C367" s="340"/>
      <c r="D367" s="170">
        <f t="shared" ref="D367:M367" si="15">SUM(D341:D366)</f>
        <v>0</v>
      </c>
      <c r="E367" s="170">
        <f t="shared" si="15"/>
        <v>0</v>
      </c>
      <c r="F367" s="170">
        <f t="shared" si="15"/>
        <v>0</v>
      </c>
      <c r="G367" s="170">
        <f t="shared" si="15"/>
        <v>0</v>
      </c>
      <c r="H367" s="170">
        <f t="shared" si="15"/>
        <v>0</v>
      </c>
      <c r="I367" s="170">
        <f t="shared" si="15"/>
        <v>0</v>
      </c>
      <c r="J367" s="170">
        <f t="shared" si="15"/>
        <v>0</v>
      </c>
      <c r="K367" s="170">
        <f t="shared" si="15"/>
        <v>0</v>
      </c>
      <c r="L367" s="170">
        <f t="shared" si="15"/>
        <v>0</v>
      </c>
      <c r="M367" s="170">
        <f t="shared" si="15"/>
        <v>0</v>
      </c>
      <c r="N367" s="342"/>
    </row>
    <row r="368" spans="2:14" ht="14.4" thickBot="1" x14ac:dyDescent="0.35"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342"/>
    </row>
    <row r="369" spans="2:15" ht="20.100000000000001" customHeight="1" thickBot="1" x14ac:dyDescent="0.35">
      <c r="B369" s="325" t="s">
        <v>229</v>
      </c>
      <c r="C369" s="326"/>
      <c r="D369" s="326"/>
      <c r="E369" s="327"/>
      <c r="F369" s="167">
        <f>D367+E367+F367+G367+H367+I367+J367+K367+L367</f>
        <v>0</v>
      </c>
      <c r="G369" s="182"/>
      <c r="H369" s="182"/>
      <c r="I369" s="182"/>
      <c r="J369" s="182"/>
      <c r="K369" s="182"/>
      <c r="L369" s="182"/>
      <c r="M369" s="182"/>
      <c r="N369" s="342"/>
    </row>
    <row r="370" spans="2:15" ht="20.100000000000001" customHeight="1" thickBot="1" x14ac:dyDescent="0.35">
      <c r="B370" s="328" t="s">
        <v>230</v>
      </c>
      <c r="C370" s="329"/>
      <c r="D370" s="329"/>
      <c r="E370" s="330"/>
      <c r="F370" s="168">
        <v>12</v>
      </c>
      <c r="G370" s="182"/>
      <c r="H370" s="182"/>
      <c r="I370" s="182"/>
      <c r="J370" s="182"/>
      <c r="K370" s="182"/>
      <c r="L370" s="182"/>
      <c r="M370" s="182"/>
      <c r="N370" s="342"/>
    </row>
    <row r="371" spans="2:15" ht="20.100000000000001" customHeight="1" thickBot="1" x14ac:dyDescent="0.35">
      <c r="B371" s="331" t="s">
        <v>231</v>
      </c>
      <c r="C371" s="332"/>
      <c r="D371" s="332"/>
      <c r="E371" s="333"/>
      <c r="F371" s="169">
        <f>F370-F369</f>
        <v>12</v>
      </c>
      <c r="G371" s="182"/>
      <c r="H371" s="182"/>
      <c r="I371" s="182"/>
      <c r="J371" s="182"/>
      <c r="K371" s="182"/>
      <c r="L371" s="182"/>
      <c r="M371" s="182"/>
      <c r="N371" s="342"/>
    </row>
    <row r="372" spans="2:15" x14ac:dyDescent="0.3">
      <c r="B372" s="341"/>
      <c r="C372" s="342"/>
      <c r="D372" s="342"/>
      <c r="E372" s="342"/>
      <c r="F372" s="342"/>
      <c r="G372" s="342"/>
      <c r="H372" s="342"/>
      <c r="I372" s="342"/>
      <c r="J372" s="342"/>
      <c r="K372" s="342"/>
      <c r="L372" s="342"/>
      <c r="M372" s="342"/>
      <c r="N372" s="342"/>
    </row>
    <row r="373" spans="2:15" x14ac:dyDescent="0.3">
      <c r="B373" s="342"/>
      <c r="C373" s="342"/>
      <c r="D373" s="342"/>
      <c r="E373" s="342"/>
      <c r="F373" s="342"/>
      <c r="G373" s="342"/>
      <c r="H373" s="342"/>
      <c r="I373" s="342"/>
      <c r="J373" s="342"/>
      <c r="K373" s="342"/>
      <c r="L373" s="342"/>
      <c r="M373" s="342"/>
      <c r="N373" s="342"/>
    </row>
    <row r="374" spans="2:15" ht="14.4" thickBot="1" x14ac:dyDescent="0.35">
      <c r="B374" s="343"/>
      <c r="C374" s="343"/>
      <c r="D374" s="343"/>
      <c r="E374" s="343"/>
      <c r="F374" s="343"/>
      <c r="G374" s="343"/>
      <c r="H374" s="343"/>
      <c r="I374" s="343"/>
      <c r="J374" s="343"/>
      <c r="K374" s="343"/>
      <c r="L374" s="343"/>
      <c r="M374" s="343"/>
      <c r="N374" s="342"/>
    </row>
    <row r="375" spans="2:15" ht="30" customHeight="1" thickBot="1" x14ac:dyDescent="0.35">
      <c r="B375" s="334" t="s">
        <v>19</v>
      </c>
      <c r="C375" s="335"/>
      <c r="D375" s="346">
        <v>2025</v>
      </c>
      <c r="E375" s="347"/>
      <c r="F375" s="347"/>
      <c r="G375" s="347"/>
      <c r="H375" s="347"/>
      <c r="I375" s="347"/>
      <c r="J375" s="347"/>
      <c r="K375" s="347"/>
      <c r="L375" s="347"/>
      <c r="M375" s="348"/>
      <c r="N375" s="343"/>
    </row>
    <row r="376" spans="2:15" ht="26.25" customHeight="1" x14ac:dyDescent="0.3">
      <c r="B376" s="350" t="s">
        <v>234</v>
      </c>
      <c r="C376" s="351"/>
      <c r="D376" s="178" t="s">
        <v>199</v>
      </c>
      <c r="E376" s="159" t="s">
        <v>159</v>
      </c>
      <c r="F376" s="159" t="s">
        <v>160</v>
      </c>
      <c r="G376" s="159" t="s">
        <v>161</v>
      </c>
      <c r="H376" s="159" t="s">
        <v>162</v>
      </c>
      <c r="I376" s="159" t="s">
        <v>163</v>
      </c>
      <c r="J376" s="159" t="s">
        <v>164</v>
      </c>
      <c r="K376" s="159" t="s">
        <v>165</v>
      </c>
      <c r="L376" s="159" t="s">
        <v>166</v>
      </c>
      <c r="M376" s="179" t="s">
        <v>167</v>
      </c>
      <c r="N376" s="352" t="s">
        <v>233</v>
      </c>
      <c r="O376" s="353"/>
    </row>
    <row r="377" spans="2:15" ht="20.100000000000001" customHeight="1" x14ac:dyDescent="0.3">
      <c r="B377" s="307"/>
      <c r="C377" s="308"/>
      <c r="D377" s="147"/>
      <c r="E377" s="175"/>
      <c r="F377" s="175"/>
      <c r="G377" s="175"/>
      <c r="H377" s="175"/>
      <c r="I377" s="175"/>
      <c r="J377" s="175"/>
      <c r="K377" s="175"/>
      <c r="L377" s="175"/>
      <c r="M377" s="180"/>
      <c r="N377" s="354"/>
      <c r="O377" s="355"/>
    </row>
    <row r="378" spans="2:15" ht="20.100000000000001" customHeight="1" x14ac:dyDescent="0.3">
      <c r="B378" s="307"/>
      <c r="C378" s="308"/>
      <c r="D378" s="147"/>
      <c r="E378" s="175"/>
      <c r="F378" s="175"/>
      <c r="G378" s="175"/>
      <c r="H378" s="175"/>
      <c r="I378" s="175"/>
      <c r="J378" s="175"/>
      <c r="K378" s="175"/>
      <c r="L378" s="175"/>
      <c r="M378" s="180"/>
      <c r="N378" s="354"/>
      <c r="O378" s="355"/>
    </row>
    <row r="379" spans="2:15" ht="20.100000000000001" customHeight="1" x14ac:dyDescent="0.3">
      <c r="B379" s="307"/>
      <c r="C379" s="308"/>
      <c r="D379" s="147"/>
      <c r="E379" s="175"/>
      <c r="F379" s="175"/>
      <c r="G379" s="175"/>
      <c r="H379" s="175"/>
      <c r="I379" s="175"/>
      <c r="J379" s="175"/>
      <c r="K379" s="175"/>
      <c r="L379" s="175"/>
      <c r="M379" s="180"/>
      <c r="N379" s="354"/>
      <c r="O379" s="355"/>
    </row>
    <row r="380" spans="2:15" ht="20.100000000000001" customHeight="1" thickBot="1" x14ac:dyDescent="0.35">
      <c r="B380" s="339" t="s">
        <v>235</v>
      </c>
      <c r="C380" s="340"/>
      <c r="D380" s="170">
        <f t="shared" ref="D380:M380" si="16">SUM(D377:D379)</f>
        <v>0</v>
      </c>
      <c r="E380" s="170">
        <f t="shared" si="16"/>
        <v>0</v>
      </c>
      <c r="F380" s="170">
        <f t="shared" si="16"/>
        <v>0</v>
      </c>
      <c r="G380" s="170">
        <f t="shared" si="16"/>
        <v>0</v>
      </c>
      <c r="H380" s="170">
        <f t="shared" si="16"/>
        <v>0</v>
      </c>
      <c r="I380" s="170">
        <f t="shared" si="16"/>
        <v>0</v>
      </c>
      <c r="J380" s="170">
        <f t="shared" si="16"/>
        <v>0</v>
      </c>
      <c r="K380" s="170">
        <f t="shared" si="16"/>
        <v>0</v>
      </c>
      <c r="L380" s="170">
        <f t="shared" si="16"/>
        <v>0</v>
      </c>
      <c r="M380" s="181">
        <f t="shared" si="16"/>
        <v>0</v>
      </c>
      <c r="N380" s="364"/>
      <c r="O380" s="365"/>
    </row>
    <row r="381" spans="2:15" ht="14.4" thickBot="1" x14ac:dyDescent="0.35"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364"/>
      <c r="O381" s="365"/>
    </row>
    <row r="382" spans="2:15" ht="20.100000000000001" customHeight="1" thickBot="1" x14ac:dyDescent="0.35">
      <c r="B382" s="325" t="s">
        <v>236</v>
      </c>
      <c r="C382" s="326"/>
      <c r="D382" s="326"/>
      <c r="E382" s="327"/>
      <c r="F382" s="167">
        <f>D380+E380+F380+G380+H380+I380+J380+K380+L380</f>
        <v>0</v>
      </c>
      <c r="G382" s="182"/>
      <c r="H382" s="182"/>
      <c r="I382" s="182"/>
      <c r="J382" s="182"/>
      <c r="K382" s="182"/>
      <c r="L382" s="182"/>
      <c r="M382" s="182"/>
      <c r="N382" s="364"/>
      <c r="O382" s="365"/>
    </row>
    <row r="383" spans="2:15" ht="20.100000000000001" customHeight="1" thickBot="1" x14ac:dyDescent="0.35">
      <c r="B383" s="328" t="s">
        <v>237</v>
      </c>
      <c r="C383" s="329"/>
      <c r="D383" s="329"/>
      <c r="E383" s="330"/>
      <c r="F383" s="168">
        <v>1</v>
      </c>
      <c r="G383" s="182"/>
      <c r="H383" s="182"/>
      <c r="I383" s="182"/>
      <c r="J383" s="182"/>
      <c r="K383" s="182"/>
      <c r="L383" s="182"/>
      <c r="M383" s="182"/>
      <c r="N383" s="364"/>
      <c r="O383" s="365"/>
    </row>
    <row r="384" spans="2:15" ht="20.100000000000001" customHeight="1" thickBot="1" x14ac:dyDescent="0.35">
      <c r="B384" s="331" t="s">
        <v>238</v>
      </c>
      <c r="C384" s="332"/>
      <c r="D384" s="332"/>
      <c r="E384" s="333"/>
      <c r="F384" s="169">
        <f>F383-F382</f>
        <v>1</v>
      </c>
      <c r="G384" s="182"/>
      <c r="H384" s="182"/>
      <c r="I384" s="182"/>
      <c r="J384" s="182"/>
      <c r="K384" s="182"/>
      <c r="L384" s="182"/>
      <c r="M384" s="182"/>
      <c r="N384" s="366"/>
      <c r="O384" s="367"/>
    </row>
    <row r="385" spans="2:14" x14ac:dyDescent="0.3">
      <c r="B385" s="341"/>
      <c r="C385" s="342"/>
      <c r="D385" s="342"/>
      <c r="E385" s="342"/>
      <c r="F385" s="342"/>
      <c r="G385" s="342"/>
      <c r="H385" s="342"/>
      <c r="I385" s="342"/>
      <c r="J385" s="342"/>
      <c r="K385" s="342"/>
      <c r="L385" s="342"/>
      <c r="M385" s="342"/>
      <c r="N385" s="358"/>
    </row>
    <row r="386" spans="2:14" x14ac:dyDescent="0.3">
      <c r="B386" s="342"/>
      <c r="C386" s="342"/>
      <c r="D386" s="342"/>
      <c r="E386" s="342"/>
      <c r="F386" s="342"/>
      <c r="G386" s="342"/>
      <c r="H386" s="342"/>
      <c r="I386" s="342"/>
      <c r="J386" s="342"/>
      <c r="K386" s="342"/>
      <c r="L386" s="342"/>
      <c r="M386" s="342"/>
      <c r="N386" s="342"/>
    </row>
    <row r="387" spans="2:14" x14ac:dyDescent="0.3">
      <c r="B387" s="342"/>
      <c r="C387" s="342"/>
      <c r="D387" s="342"/>
      <c r="E387" s="342"/>
      <c r="F387" s="342"/>
      <c r="G387" s="342"/>
      <c r="H387" s="342"/>
      <c r="I387" s="342"/>
      <c r="J387" s="342"/>
      <c r="K387" s="342"/>
      <c r="L387" s="342"/>
      <c r="M387" s="342"/>
      <c r="N387" s="342"/>
    </row>
  </sheetData>
  <autoFilter ref="A8:N146" xr:uid="{2D5397B6-A7EF-44BC-AFEB-2E3D8598E273}"/>
  <mergeCells count="194">
    <mergeCell ref="N385:N387"/>
    <mergeCell ref="B162:L162"/>
    <mergeCell ref="B163:L163"/>
    <mergeCell ref="B155:N161"/>
    <mergeCell ref="M162:N206"/>
    <mergeCell ref="N207:N220"/>
    <mergeCell ref="B382:E382"/>
    <mergeCell ref="B383:E383"/>
    <mergeCell ref="B384:E384"/>
    <mergeCell ref="N376:O384"/>
    <mergeCell ref="B300:M302"/>
    <mergeCell ref="B336:M338"/>
    <mergeCell ref="B372:M374"/>
    <mergeCell ref="N281:N303"/>
    <mergeCell ref="N317:N339"/>
    <mergeCell ref="N353:N375"/>
    <mergeCell ref="B380:C380"/>
    <mergeCell ref="B385:M387"/>
    <mergeCell ref="B376:C376"/>
    <mergeCell ref="B377:C377"/>
    <mergeCell ref="B378:C378"/>
    <mergeCell ref="B379:C379"/>
    <mergeCell ref="B369:E369"/>
    <mergeCell ref="B370:E370"/>
    <mergeCell ref="B371:E371"/>
    <mergeCell ref="B375:C375"/>
    <mergeCell ref="D375:M375"/>
    <mergeCell ref="B363:C363"/>
    <mergeCell ref="B364:C364"/>
    <mergeCell ref="B365:C365"/>
    <mergeCell ref="B366:C366"/>
    <mergeCell ref="B367:C367"/>
    <mergeCell ref="B358:C358"/>
    <mergeCell ref="B359:C359"/>
    <mergeCell ref="B360:C360"/>
    <mergeCell ref="B361:C361"/>
    <mergeCell ref="B362:C362"/>
    <mergeCell ref="B353:C353"/>
    <mergeCell ref="B354:C354"/>
    <mergeCell ref="B355:C355"/>
    <mergeCell ref="B356:C356"/>
    <mergeCell ref="B357:C357"/>
    <mergeCell ref="B340:C340"/>
    <mergeCell ref="N340:O352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33:E333"/>
    <mergeCell ref="B334:E334"/>
    <mergeCell ref="B335:E335"/>
    <mergeCell ref="B339:C339"/>
    <mergeCell ref="D339:M339"/>
    <mergeCell ref="B327:C327"/>
    <mergeCell ref="B328:C328"/>
    <mergeCell ref="B329:C329"/>
    <mergeCell ref="B330:C330"/>
    <mergeCell ref="B331:C331"/>
    <mergeCell ref="B322:C322"/>
    <mergeCell ref="B323:C323"/>
    <mergeCell ref="B324:C324"/>
    <mergeCell ref="B325:C325"/>
    <mergeCell ref="B326:C326"/>
    <mergeCell ref="B317:C317"/>
    <mergeCell ref="B318:C318"/>
    <mergeCell ref="B319:C319"/>
    <mergeCell ref="B320:C320"/>
    <mergeCell ref="B321:C321"/>
    <mergeCell ref="B304:C304"/>
    <mergeCell ref="N304:O316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N268:O280"/>
    <mergeCell ref="B303:C303"/>
    <mergeCell ref="D303:M303"/>
    <mergeCell ref="B284:C284"/>
    <mergeCell ref="B285:C285"/>
    <mergeCell ref="B286:C286"/>
    <mergeCell ref="B287:C287"/>
    <mergeCell ref="B288:C288"/>
    <mergeCell ref="B298:E298"/>
    <mergeCell ref="B299:E29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92:C292"/>
    <mergeCell ref="B293:C293"/>
    <mergeCell ref="B294:C294"/>
    <mergeCell ref="B295:C295"/>
    <mergeCell ref="B297:E297"/>
    <mergeCell ref="B267:C267"/>
    <mergeCell ref="D267:M267"/>
    <mergeCell ref="B268:C268"/>
    <mergeCell ref="B269:C269"/>
    <mergeCell ref="B289:C289"/>
    <mergeCell ref="B290:C290"/>
    <mergeCell ref="B291:C291"/>
    <mergeCell ref="B264:M266"/>
    <mergeCell ref="M221:N263"/>
    <mergeCell ref="N264:N267"/>
    <mergeCell ref="B261:E261"/>
    <mergeCell ref="B262:E262"/>
    <mergeCell ref="B263:E263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21:L223"/>
    <mergeCell ref="B242:L244"/>
    <mergeCell ref="B245:C245"/>
    <mergeCell ref="D245:L245"/>
    <mergeCell ref="B259:C259"/>
    <mergeCell ref="B202:C202"/>
    <mergeCell ref="B204:E204"/>
    <mergeCell ref="B205:E205"/>
    <mergeCell ref="B206:E206"/>
    <mergeCell ref="B190:C190"/>
    <mergeCell ref="D190:L190"/>
    <mergeCell ref="B182:C182"/>
    <mergeCell ref="B184:E184"/>
    <mergeCell ref="B185:E185"/>
    <mergeCell ref="B186:E186"/>
    <mergeCell ref="B220:E220"/>
    <mergeCell ref="B211:C211"/>
    <mergeCell ref="B212:C212"/>
    <mergeCell ref="B213:C213"/>
    <mergeCell ref="B214:C214"/>
    <mergeCell ref="B215:C215"/>
    <mergeCell ref="B210:C210"/>
    <mergeCell ref="B216:C216"/>
    <mergeCell ref="D210:M210"/>
    <mergeCell ref="B218:E218"/>
    <mergeCell ref="B178:C178"/>
    <mergeCell ref="B179:C179"/>
    <mergeCell ref="B180:C180"/>
    <mergeCell ref="B181:C181"/>
    <mergeCell ref="B239:E239"/>
    <mergeCell ref="B240:E240"/>
    <mergeCell ref="B241:E241"/>
    <mergeCell ref="D1:N1"/>
    <mergeCell ref="A2:B2"/>
    <mergeCell ref="B224:C224"/>
    <mergeCell ref="D224:L224"/>
    <mergeCell ref="B237:C237"/>
    <mergeCell ref="B171:E171"/>
    <mergeCell ref="B172:E172"/>
    <mergeCell ref="B173:E173"/>
    <mergeCell ref="B164:C164"/>
    <mergeCell ref="D164:L164"/>
    <mergeCell ref="B169:C169"/>
    <mergeCell ref="B177:C177"/>
    <mergeCell ref="D177:L177"/>
    <mergeCell ref="B187:L189"/>
    <mergeCell ref="B174:L176"/>
    <mergeCell ref="B207:M209"/>
    <mergeCell ref="B219:E219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3A24-C0EE-43D9-B080-F79159D4BF66}">
  <dimension ref="B2:L6"/>
  <sheetViews>
    <sheetView workbookViewId="0">
      <selection activeCell="R15" sqref="R15"/>
    </sheetView>
  </sheetViews>
  <sheetFormatPr defaultRowHeight="14.4" x14ac:dyDescent="0.3"/>
  <sheetData>
    <row r="2" spans="2:12" x14ac:dyDescent="0.3">
      <c r="B2" s="119">
        <v>0.51041666666666663</v>
      </c>
    </row>
    <row r="3" spans="2:12" x14ac:dyDescent="0.3">
      <c r="B3" s="119">
        <v>6.25E-2</v>
      </c>
      <c r="L3">
        <v>16</v>
      </c>
    </row>
    <row r="4" spans="2:12" x14ac:dyDescent="0.3">
      <c r="B4" s="119">
        <f>B2+B3</f>
        <v>0.57291666666666663</v>
      </c>
      <c r="L4">
        <v>47.79</v>
      </c>
    </row>
    <row r="5" spans="2:12" x14ac:dyDescent="0.3">
      <c r="L5">
        <v>11</v>
      </c>
    </row>
    <row r="6" spans="2:12" x14ac:dyDescent="0.3">
      <c r="L6">
        <f>SUM(L3:L5)</f>
        <v>74.789999999999992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Aktivnosti_Izvještavanje</vt:lpstr>
      <vt:lpstr>Kalendar aktivnosti veljača2026</vt:lpstr>
      <vt:lpstr>Kalendar aktivnosti 06.2025_V3</vt:lpstr>
      <vt:lpstr>Kalendar aktivnosti 06.2025</vt:lpstr>
      <vt:lpstr>Kalendar aktivnosti 05.2025-V2</vt:lpstr>
      <vt:lpstr>KA skraćeno 04.2025</vt:lpstr>
      <vt:lpstr>Objedinjeno 2025</vt:lpstr>
      <vt:lpstr>List1</vt:lpstr>
      <vt:lpstr>Aktivnosti_Izvještavanje!Podrucje_ispisa</vt:lpstr>
      <vt:lpstr>'KA skraćeno 04.2025'!Podrucje_ispisa</vt:lpstr>
      <vt:lpstr>'Kalendar aktivnosti 05.2025-V2'!Podrucje_ispisa</vt:lpstr>
      <vt:lpstr>'Kalendar aktivnosti 06.2025'!Podrucje_ispisa</vt:lpstr>
      <vt:lpstr>'Kalendar aktivnosti 06.2025_V3'!Podrucje_ispisa</vt:lpstr>
      <vt:lpstr>'Kalendar aktivnosti veljača2026'!Podrucje_ispisa</vt:lpstr>
      <vt:lpstr>'Objedinjeno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Salha</dc:creator>
  <cp:lastModifiedBy>Monika Ivanović</cp:lastModifiedBy>
  <cp:lastPrinted>2025-12-29T10:33:50Z</cp:lastPrinted>
  <dcterms:created xsi:type="dcterms:W3CDTF">2025-04-01T16:22:13Z</dcterms:created>
  <dcterms:modified xsi:type="dcterms:W3CDTF">2026-03-03T11:58:30Z</dcterms:modified>
</cp:coreProperties>
</file>